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gerar\Dropbox\UoC253_D47\papers\17O-paper\"/>
    </mc:Choice>
  </mc:AlternateContent>
  <xr:revisionPtr revIDLastSave="0" documentId="13_ncr:1_{C72690BB-4EA8-4298-8659-1094D7A70C66}" xr6:coauthVersionLast="41" xr6:coauthVersionMax="41" xr10:uidLastSave="{00000000-0000-0000-0000-000000000000}"/>
  <bookViews>
    <workbookView xWindow="23895" yWindow="2805" windowWidth="21795" windowHeight="11190" activeTab="3" xr2:uid="{00000000-000D-0000-FFFF-FFFF00000000}"/>
  </bookViews>
  <sheets>
    <sheet name="explanation" sheetId="8" r:id="rId1"/>
    <sheet name="Parameters" sheetId="9" r:id="rId2"/>
    <sheet name="baseline-D17-D47" sheetId="10" r:id="rId3"/>
    <sheet name="datapoints-plots" sheetId="11" r:id="rId4"/>
    <sheet name="full model" sheetId="1"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8" i="11" l="1"/>
  <c r="E7" i="11" l="1"/>
  <c r="D7" i="11"/>
  <c r="F16" i="1"/>
  <c r="D16" i="1"/>
  <c r="F15" i="1"/>
  <c r="C19" i="1" s="1"/>
  <c r="AJ19" i="1" s="1"/>
  <c r="D15" i="1"/>
  <c r="B19" i="1" s="1"/>
  <c r="J6" i="1"/>
  <c r="C6" i="1" s="1"/>
  <c r="K6" i="1"/>
  <c r="D6" i="1" s="1"/>
  <c r="J7" i="1"/>
  <c r="C7" i="1" s="1"/>
  <c r="K7" i="1"/>
  <c r="D7" i="1" s="1"/>
  <c r="D13" i="1" s="1"/>
  <c r="J8" i="1"/>
  <c r="C8" i="1" s="1"/>
  <c r="K8" i="1"/>
  <c r="D8" i="1" s="1"/>
  <c r="J9" i="1"/>
  <c r="C9" i="1" s="1"/>
  <c r="K9" i="1"/>
  <c r="D9" i="1" s="1"/>
  <c r="K5" i="1"/>
  <c r="J5" i="1"/>
  <c r="P16" i="1"/>
  <c r="O15" i="1"/>
  <c r="M15" i="1" s="1"/>
  <c r="O16" i="1"/>
  <c r="P14" i="1"/>
  <c r="O14" i="1"/>
  <c r="M14" i="1" s="1"/>
  <c r="O13" i="1"/>
  <c r="M13" i="1" s="1"/>
  <c r="P9" i="1"/>
  <c r="P10" i="1"/>
  <c r="P11" i="1"/>
  <c r="P12" i="1"/>
  <c r="O10" i="1"/>
  <c r="M10" i="1" s="1"/>
  <c r="O11" i="1"/>
  <c r="O12" i="1"/>
  <c r="O9" i="1"/>
  <c r="M9" i="1" s="1"/>
  <c r="Q7" i="1"/>
  <c r="O6" i="1"/>
  <c r="M6" i="1" s="1"/>
  <c r="O7" i="1"/>
  <c r="O5" i="1"/>
  <c r="O4" i="1"/>
  <c r="M4" i="1" s="1"/>
  <c r="V9" i="1"/>
  <c r="W9" i="1" s="1"/>
  <c r="Y7" i="1"/>
  <c r="Y8" i="1"/>
  <c r="Y6" i="1"/>
  <c r="B14" i="11"/>
  <c r="K13" i="1" s="1"/>
  <c r="A14" i="11"/>
  <c r="J13" i="1" s="1"/>
  <c r="B12" i="11"/>
  <c r="K11" i="1" s="1"/>
  <c r="A12" i="11"/>
  <c r="J11" i="1" s="1"/>
  <c r="E62" i="11"/>
  <c r="D62" i="11"/>
  <c r="E68" i="11"/>
  <c r="D68" i="11"/>
  <c r="E56" i="11"/>
  <c r="D56" i="11"/>
  <c r="E74" i="11"/>
  <c r="D74" i="11"/>
  <c r="E50" i="11"/>
  <c r="D50" i="11"/>
  <c r="E80" i="11"/>
  <c r="D80" i="11"/>
  <c r="P17" i="9"/>
  <c r="K17" i="9"/>
  <c r="K15" i="9"/>
  <c r="K20" i="9" s="1"/>
  <c r="J17" i="9"/>
  <c r="J15" i="9"/>
  <c r="J20" i="9" s="1"/>
  <c r="E49" i="11"/>
  <c r="D49" i="11"/>
  <c r="O49" i="11"/>
  <c r="N49" i="11"/>
  <c r="M49" i="11"/>
  <c r="L49" i="11"/>
  <c r="K49" i="11"/>
  <c r="I49" i="11"/>
  <c r="H49" i="11"/>
  <c r="D79" i="11"/>
  <c r="E79" i="11"/>
  <c r="D73" i="11"/>
  <c r="E73" i="11"/>
  <c r="D67" i="11"/>
  <c r="E67" i="11"/>
  <c r="D61" i="11"/>
  <c r="E61" i="11"/>
  <c r="D55" i="11"/>
  <c r="E55" i="11"/>
  <c r="D84" i="11"/>
  <c r="E84" i="11"/>
  <c r="D78" i="11"/>
  <c r="E78" i="11"/>
  <c r="D72" i="11"/>
  <c r="E72" i="11"/>
  <c r="D66" i="11"/>
  <c r="E66" i="11"/>
  <c r="D60" i="11"/>
  <c r="E60" i="11"/>
  <c r="D54" i="11"/>
  <c r="E54" i="11"/>
  <c r="D83" i="11"/>
  <c r="E83" i="11"/>
  <c r="D77" i="11"/>
  <c r="E77" i="11"/>
  <c r="D71" i="11"/>
  <c r="E71" i="11"/>
  <c r="D65" i="11"/>
  <c r="E65" i="11"/>
  <c r="D59" i="11"/>
  <c r="E59" i="11"/>
  <c r="D53" i="11"/>
  <c r="E53" i="11"/>
  <c r="D82" i="11"/>
  <c r="E82" i="11"/>
  <c r="D76" i="11"/>
  <c r="E76" i="11"/>
  <c r="D70" i="11"/>
  <c r="E70" i="11"/>
  <c r="D64" i="11"/>
  <c r="E64" i="11"/>
  <c r="D58" i="11"/>
  <c r="E58" i="11"/>
  <c r="D52" i="11"/>
  <c r="E52" i="11"/>
  <c r="D81" i="11"/>
  <c r="E81" i="11"/>
  <c r="D75" i="11"/>
  <c r="E75" i="11"/>
  <c r="D69" i="11"/>
  <c r="E69" i="11"/>
  <c r="D63" i="11"/>
  <c r="E63" i="11"/>
  <c r="D57" i="11"/>
  <c r="E57" i="11"/>
  <c r="D51" i="11"/>
  <c r="E51" i="11"/>
  <c r="E85" i="11"/>
  <c r="D85" i="11"/>
  <c r="C57" i="1"/>
  <c r="AJ57" i="1" s="1"/>
  <c r="B57" i="1"/>
  <c r="C56" i="1"/>
  <c r="AJ56" i="1" s="1"/>
  <c r="B56" i="1"/>
  <c r="C55" i="1"/>
  <c r="AJ55" i="1" s="1"/>
  <c r="B55" i="1"/>
  <c r="C54" i="1"/>
  <c r="AJ54" i="1" s="1"/>
  <c r="B54" i="1"/>
  <c r="C53" i="1"/>
  <c r="B53" i="1"/>
  <c r="C52" i="1"/>
  <c r="AJ52" i="1" s="1"/>
  <c r="B52" i="1"/>
  <c r="C51" i="1"/>
  <c r="AJ51" i="1" s="1"/>
  <c r="B51" i="1"/>
  <c r="C50" i="1"/>
  <c r="B50" i="1"/>
  <c r="C49" i="1"/>
  <c r="AJ49" i="1" s="1"/>
  <c r="B49" i="1"/>
  <c r="C48" i="1"/>
  <c r="AJ48" i="1" s="1"/>
  <c r="B48" i="1"/>
  <c r="C47" i="1"/>
  <c r="AJ47" i="1" s="1"/>
  <c r="B47" i="1"/>
  <c r="C46" i="1"/>
  <c r="B46" i="1"/>
  <c r="C45" i="1"/>
  <c r="AJ45" i="1" s="1"/>
  <c r="B45" i="1"/>
  <c r="C44" i="1"/>
  <c r="AJ44" i="1" s="1"/>
  <c r="B44" i="1"/>
  <c r="C43" i="1"/>
  <c r="AJ43" i="1" s="1"/>
  <c r="B43" i="1"/>
  <c r="C42" i="1"/>
  <c r="B42" i="1"/>
  <c r="C41" i="1"/>
  <c r="AJ41" i="1" s="1"/>
  <c r="B41" i="1"/>
  <c r="C40" i="1"/>
  <c r="AJ40" i="1" s="1"/>
  <c r="B40" i="1"/>
  <c r="C39" i="1"/>
  <c r="AJ39" i="1" s="1"/>
  <c r="B39" i="1"/>
  <c r="C38" i="1"/>
  <c r="B38" i="1"/>
  <c r="C37" i="1"/>
  <c r="B37" i="1"/>
  <c r="C36" i="1"/>
  <c r="B36" i="1"/>
  <c r="C35" i="1"/>
  <c r="AJ35" i="1" s="1"/>
  <c r="B35" i="1"/>
  <c r="C34" i="1"/>
  <c r="AJ34" i="1" s="1"/>
  <c r="B34" i="1"/>
  <c r="C33" i="1"/>
  <c r="AJ33" i="1" s="1"/>
  <c r="B33" i="1"/>
  <c r="C32" i="1"/>
  <c r="B32" i="1"/>
  <c r="C31" i="1"/>
  <c r="B31" i="1"/>
  <c r="C30" i="1"/>
  <c r="AJ30" i="1" s="1"/>
  <c r="B30" i="1"/>
  <c r="C29" i="1"/>
  <c r="AJ29" i="1" s="1"/>
  <c r="B29" i="1"/>
  <c r="C28" i="1"/>
  <c r="AJ28" i="1" s="1"/>
  <c r="B28" i="1"/>
  <c r="C27" i="1"/>
  <c r="AJ27" i="1" s="1"/>
  <c r="B27" i="1"/>
  <c r="C26" i="1"/>
  <c r="AJ26" i="1" s="1"/>
  <c r="B26" i="1"/>
  <c r="C25" i="1"/>
  <c r="AJ25" i="1" s="1"/>
  <c r="B25" i="1"/>
  <c r="C24" i="1"/>
  <c r="AJ24" i="1" s="1"/>
  <c r="B24" i="1"/>
  <c r="C23" i="1"/>
  <c r="AJ23" i="1" s="1"/>
  <c r="B23" i="1"/>
  <c r="C22" i="1"/>
  <c r="B22" i="1"/>
  <c r="C20" i="1"/>
  <c r="AJ20" i="1" s="1"/>
  <c r="B20" i="1"/>
  <c r="E9" i="11"/>
  <c r="C21" i="1" s="1"/>
  <c r="D9" i="11"/>
  <c r="B21" i="1" s="1"/>
  <c r="G6" i="11"/>
  <c r="G49" i="11" s="1"/>
  <c r="F6" i="11"/>
  <c r="F49" i="11" s="1"/>
  <c r="C8" i="10"/>
  <c r="C7" i="10"/>
  <c r="C6" i="10"/>
  <c r="I17" i="9"/>
  <c r="H17" i="9"/>
  <c r="G17" i="9"/>
  <c r="F17" i="9"/>
  <c r="E17" i="9"/>
  <c r="I15" i="9"/>
  <c r="I20" i="9" s="1"/>
  <c r="H15" i="9"/>
  <c r="H20" i="9" s="1"/>
  <c r="G15" i="9"/>
  <c r="G20" i="9" s="1"/>
  <c r="F15" i="9"/>
  <c r="F20" i="9" s="1"/>
  <c r="E15" i="9"/>
  <c r="E20" i="9" s="1"/>
  <c r="AJ31" i="1"/>
  <c r="AJ37" i="1"/>
  <c r="I13" i="1"/>
  <c r="H13" i="1"/>
  <c r="G13" i="1"/>
  <c r="F13" i="1"/>
  <c r="I12" i="1"/>
  <c r="H12" i="1"/>
  <c r="G12" i="1"/>
  <c r="F12" i="1"/>
  <c r="M5" i="1"/>
  <c r="M7" i="1"/>
  <c r="M12" i="1"/>
  <c r="AJ36" i="1"/>
  <c r="AJ32" i="1"/>
  <c r="N12" i="1" l="1"/>
  <c r="G16" i="9"/>
  <c r="N9" i="1"/>
  <c r="I18" i="9"/>
  <c r="F18" i="9"/>
  <c r="H18" i="9"/>
  <c r="H16" i="9"/>
  <c r="I16" i="9"/>
  <c r="F16" i="9"/>
  <c r="N10" i="1"/>
  <c r="D23" i="1"/>
  <c r="G23" i="1" s="1"/>
  <c r="I23" i="1" s="1"/>
  <c r="E28" i="1"/>
  <c r="E37" i="1"/>
  <c r="D52" i="1"/>
  <c r="G52" i="1" s="1"/>
  <c r="D54" i="1"/>
  <c r="G54" i="1" s="1"/>
  <c r="I54" i="1" s="1"/>
  <c r="D56" i="1"/>
  <c r="G56" i="1" s="1"/>
  <c r="I56" i="1" s="1"/>
  <c r="E36" i="1"/>
  <c r="D27" i="1"/>
  <c r="G27" i="1" s="1"/>
  <c r="I27" i="1" s="1"/>
  <c r="D29" i="1"/>
  <c r="G29" i="1" s="1"/>
  <c r="I29" i="1" s="1"/>
  <c r="D31" i="1"/>
  <c r="G31" i="1" s="1"/>
  <c r="I31" i="1" s="1"/>
  <c r="D33" i="1"/>
  <c r="G33" i="1" s="1"/>
  <c r="I33" i="1" s="1"/>
  <c r="D35" i="1"/>
  <c r="G35" i="1" s="1"/>
  <c r="I35" i="1" s="1"/>
  <c r="D37" i="1"/>
  <c r="G37" i="1" s="1"/>
  <c r="D39" i="1"/>
  <c r="G39" i="1" s="1"/>
  <c r="C13" i="1"/>
  <c r="E55" i="1"/>
  <c r="E40" i="1"/>
  <c r="E32" i="1"/>
  <c r="D21" i="1"/>
  <c r="G21" i="1" s="1"/>
  <c r="I21" i="1" s="1"/>
  <c r="D22" i="1"/>
  <c r="G22" i="1" s="1"/>
  <c r="I22" i="1" s="1"/>
  <c r="D24" i="1"/>
  <c r="D26" i="1"/>
  <c r="G26" i="1" s="1"/>
  <c r="I26" i="1" s="1"/>
  <c r="D28" i="1"/>
  <c r="D30" i="1"/>
  <c r="G30" i="1" s="1"/>
  <c r="I30" i="1" s="1"/>
  <c r="D43" i="1"/>
  <c r="G43" i="1" s="1"/>
  <c r="I43" i="1" s="1"/>
  <c r="D45" i="1"/>
  <c r="D47" i="1"/>
  <c r="D49" i="1"/>
  <c r="G49" i="1" s="1"/>
  <c r="D51" i="1"/>
  <c r="G51" i="1" s="1"/>
  <c r="I51" i="1" s="1"/>
  <c r="D19" i="1"/>
  <c r="J52" i="1" s="1"/>
  <c r="D20" i="1"/>
  <c r="G20" i="1" s="1"/>
  <c r="D36" i="1"/>
  <c r="G36" i="1" s="1"/>
  <c r="I36" i="1" s="1"/>
  <c r="D38" i="1"/>
  <c r="G38" i="1" s="1"/>
  <c r="I38" i="1" s="1"/>
  <c r="D53" i="1"/>
  <c r="D55" i="1"/>
  <c r="G55" i="1" s="1"/>
  <c r="I55" i="1" s="1"/>
  <c r="D40" i="1"/>
  <c r="G40" i="1" s="1"/>
  <c r="D42" i="1"/>
  <c r="G42" i="1" s="1"/>
  <c r="I42" i="1" s="1"/>
  <c r="D44" i="1"/>
  <c r="G44" i="1" s="1"/>
  <c r="I44" i="1" s="1"/>
  <c r="D46" i="1"/>
  <c r="G46" i="1" s="1"/>
  <c r="I46" i="1" s="1"/>
  <c r="D48" i="1"/>
  <c r="G48" i="1" s="1"/>
  <c r="I48" i="1" s="1"/>
  <c r="D50" i="1"/>
  <c r="G50" i="1" s="1"/>
  <c r="I50" i="1" s="1"/>
  <c r="E33" i="1"/>
  <c r="E19" i="1"/>
  <c r="E47" i="1"/>
  <c r="E20" i="1"/>
  <c r="E49" i="1"/>
  <c r="E43" i="1"/>
  <c r="E24" i="1"/>
  <c r="E41" i="1"/>
  <c r="E31" i="1"/>
  <c r="E48" i="1"/>
  <c r="E27" i="1"/>
  <c r="E51" i="1"/>
  <c r="E25" i="1"/>
  <c r="E52" i="1"/>
  <c r="E34" i="1"/>
  <c r="E39" i="1"/>
  <c r="E44" i="1"/>
  <c r="E57" i="1"/>
  <c r="K22" i="9"/>
  <c r="J22" i="9"/>
  <c r="F22" i="9"/>
  <c r="G22" i="9"/>
  <c r="I22" i="9"/>
  <c r="H22" i="9"/>
  <c r="K16" i="9"/>
  <c r="K18" i="9"/>
  <c r="J18" i="9"/>
  <c r="E30" i="1"/>
  <c r="E45" i="1"/>
  <c r="E16" i="9"/>
  <c r="G18" i="9"/>
  <c r="D25" i="1"/>
  <c r="G25" i="1" s="1"/>
  <c r="I25" i="1" s="1"/>
  <c r="D32" i="1"/>
  <c r="D34" i="1"/>
  <c r="G34" i="1" s="1"/>
  <c r="I34" i="1" s="1"/>
  <c r="D41" i="1"/>
  <c r="G41" i="1" s="1"/>
  <c r="D57" i="1"/>
  <c r="J16" i="9"/>
  <c r="A13" i="11"/>
  <c r="J12" i="1" s="1"/>
  <c r="N16" i="1"/>
  <c r="AJ21" i="1"/>
  <c r="E21" i="1"/>
  <c r="M16" i="1"/>
  <c r="F55" i="1" s="1"/>
  <c r="AE19" i="1"/>
  <c r="AF19" i="1" s="1"/>
  <c r="E50" i="1"/>
  <c r="E53" i="1"/>
  <c r="E35" i="1"/>
  <c r="C11" i="1"/>
  <c r="C12" i="1" s="1"/>
  <c r="E23" i="1"/>
  <c r="AJ53" i="1"/>
  <c r="E29" i="1"/>
  <c r="E56" i="1"/>
  <c r="E54" i="1"/>
  <c r="AD19" i="1"/>
  <c r="AJ50" i="1"/>
  <c r="E26" i="1"/>
  <c r="E22" i="1"/>
  <c r="AJ22" i="1"/>
  <c r="G24" i="1"/>
  <c r="I24" i="1" s="1"/>
  <c r="E46" i="1"/>
  <c r="AJ46" i="1"/>
  <c r="E42" i="1"/>
  <c r="AJ42" i="1"/>
  <c r="I37" i="1"/>
  <c r="N11" i="1"/>
  <c r="M11" i="1"/>
  <c r="I49" i="1"/>
  <c r="I52" i="1"/>
  <c r="AJ38" i="1"/>
  <c r="E38" i="1"/>
  <c r="N4" i="1"/>
  <c r="N14" i="1"/>
  <c r="D11" i="1"/>
  <c r="D12" i="1" s="1"/>
  <c r="B13" i="11"/>
  <c r="K12" i="1" s="1"/>
  <c r="I40" i="1" l="1"/>
  <c r="L57" i="1"/>
  <c r="L48" i="1"/>
  <c r="F42" i="1"/>
  <c r="H42" i="1" s="1"/>
  <c r="F41" i="1"/>
  <c r="H41" i="1" s="1"/>
  <c r="M41" i="1" s="1"/>
  <c r="F54" i="1"/>
  <c r="H54" i="1" s="1"/>
  <c r="K54" i="1" s="1"/>
  <c r="F50" i="1"/>
  <c r="H50" i="1" s="1"/>
  <c r="M50" i="1" s="1"/>
  <c r="F20" i="1"/>
  <c r="H20" i="1" s="1"/>
  <c r="F26" i="1"/>
  <c r="H26" i="1" s="1"/>
  <c r="M26" i="1" s="1"/>
  <c r="F39" i="1"/>
  <c r="H39" i="1" s="1"/>
  <c r="M39" i="1" s="1"/>
  <c r="F36" i="1"/>
  <c r="H36" i="1" s="1"/>
  <c r="M36" i="1" s="1"/>
  <c r="F53" i="1"/>
  <c r="H53" i="1" s="1"/>
  <c r="F29" i="1"/>
  <c r="H29" i="1" s="1"/>
  <c r="M29" i="1" s="1"/>
  <c r="F47" i="1"/>
  <c r="H47" i="1" s="1"/>
  <c r="M47" i="1" s="1"/>
  <c r="F22" i="1"/>
  <c r="H22" i="1" s="1"/>
  <c r="K22" i="1" s="1"/>
  <c r="F40" i="1"/>
  <c r="H40" i="1" s="1"/>
  <c r="M40" i="1" s="1"/>
  <c r="F51" i="1"/>
  <c r="H51" i="1" s="1"/>
  <c r="K51" i="1" s="1"/>
  <c r="L36" i="1"/>
  <c r="G19" i="1"/>
  <c r="I19" i="1" s="1"/>
  <c r="J39" i="1"/>
  <c r="F30" i="1"/>
  <c r="H30" i="1" s="1"/>
  <c r="M30" i="1" s="1"/>
  <c r="F46" i="1"/>
  <c r="H46" i="1" s="1"/>
  <c r="M46" i="1" s="1"/>
  <c r="F21" i="1"/>
  <c r="H21" i="1" s="1"/>
  <c r="M21" i="1" s="1"/>
  <c r="F44" i="1"/>
  <c r="H44" i="1" s="1"/>
  <c r="K44" i="1" s="1"/>
  <c r="J53" i="1"/>
  <c r="F32" i="1"/>
  <c r="H32" i="1" s="1"/>
  <c r="M32" i="1" s="1"/>
  <c r="F28" i="1"/>
  <c r="H28" i="1" s="1"/>
  <c r="M28" i="1" s="1"/>
  <c r="L52" i="1"/>
  <c r="L43" i="1"/>
  <c r="G53" i="1"/>
  <c r="I53" i="1" s="1"/>
  <c r="J26" i="1"/>
  <c r="J34" i="1"/>
  <c r="L28" i="1"/>
  <c r="J28" i="1"/>
  <c r="F37" i="1"/>
  <c r="H37" i="1" s="1"/>
  <c r="M37" i="1" s="1"/>
  <c r="J51" i="1"/>
  <c r="J29" i="1"/>
  <c r="J19" i="1"/>
  <c r="F25" i="1"/>
  <c r="H25" i="1" s="1"/>
  <c r="M25" i="1" s="1"/>
  <c r="L31" i="1"/>
  <c r="L33" i="1"/>
  <c r="G28" i="1"/>
  <c r="I28" i="1" s="1"/>
  <c r="L56" i="1"/>
  <c r="L35" i="1"/>
  <c r="F52" i="1"/>
  <c r="H52" i="1" s="1"/>
  <c r="M52" i="1" s="1"/>
  <c r="L39" i="1"/>
  <c r="L41" i="1"/>
  <c r="F48" i="1"/>
  <c r="H48" i="1" s="1"/>
  <c r="L45" i="1"/>
  <c r="L34" i="1"/>
  <c r="F27" i="1"/>
  <c r="H27" i="1" s="1"/>
  <c r="M27" i="1" s="1"/>
  <c r="F24" i="1"/>
  <c r="H24" i="1" s="1"/>
  <c r="M24" i="1" s="1"/>
  <c r="F49" i="1"/>
  <c r="H49" i="1" s="1"/>
  <c r="L55" i="1"/>
  <c r="J38" i="1"/>
  <c r="J45" i="1"/>
  <c r="J31" i="1"/>
  <c r="J43" i="1"/>
  <c r="J37" i="1"/>
  <c r="J23" i="1"/>
  <c r="J42" i="1"/>
  <c r="J35" i="1"/>
  <c r="J50" i="1"/>
  <c r="J20" i="1"/>
  <c r="I39" i="1"/>
  <c r="J44" i="1"/>
  <c r="J32" i="1"/>
  <c r="L47" i="1"/>
  <c r="J56" i="1"/>
  <c r="I41" i="1"/>
  <c r="J22" i="1"/>
  <c r="J54" i="1"/>
  <c r="J27" i="1"/>
  <c r="J57" i="1"/>
  <c r="J55" i="1"/>
  <c r="J47" i="1"/>
  <c r="F56" i="1"/>
  <c r="H56" i="1" s="1"/>
  <c r="M56" i="1" s="1"/>
  <c r="L24" i="1"/>
  <c r="J36" i="1"/>
  <c r="F57" i="1"/>
  <c r="H57" i="1" s="1"/>
  <c r="M57" i="1" s="1"/>
  <c r="F43" i="1"/>
  <c r="H43" i="1" s="1"/>
  <c r="M43" i="1" s="1"/>
  <c r="L49" i="1"/>
  <c r="L32" i="1"/>
  <c r="J25" i="1"/>
  <c r="J46" i="1"/>
  <c r="G47" i="1"/>
  <c r="I47" i="1" s="1"/>
  <c r="L44" i="1"/>
  <c r="G45" i="1"/>
  <c r="I45" i="1" s="1"/>
  <c r="J40" i="1"/>
  <c r="J30" i="1"/>
  <c r="F35" i="1"/>
  <c r="H35" i="1" s="1"/>
  <c r="M35" i="1" s="1"/>
  <c r="F31" i="1"/>
  <c r="H31" i="1" s="1"/>
  <c r="M31" i="1" s="1"/>
  <c r="J33" i="1"/>
  <c r="J48" i="1"/>
  <c r="J21" i="1"/>
  <c r="L54" i="1"/>
  <c r="L23" i="1"/>
  <c r="J49" i="1"/>
  <c r="J24" i="1"/>
  <c r="G32" i="1"/>
  <c r="I32" i="1" s="1"/>
  <c r="F45" i="1"/>
  <c r="H45" i="1" s="1"/>
  <c r="F34" i="1"/>
  <c r="H34" i="1" s="1"/>
  <c r="L21" i="1"/>
  <c r="F23" i="1"/>
  <c r="H23" i="1" s="1"/>
  <c r="M23" i="1" s="1"/>
  <c r="L30" i="1"/>
  <c r="L27" i="1"/>
  <c r="L53" i="1"/>
  <c r="G57" i="1"/>
  <c r="I57" i="1" s="1"/>
  <c r="L37" i="1"/>
  <c r="L25" i="1"/>
  <c r="F19" i="1"/>
  <c r="H19" i="1" s="1"/>
  <c r="K19" i="1" s="1"/>
  <c r="J41" i="1"/>
  <c r="L40" i="1"/>
  <c r="L19" i="1"/>
  <c r="L29" i="1"/>
  <c r="L50" i="1"/>
  <c r="F33" i="1"/>
  <c r="H33" i="1" s="1"/>
  <c r="K33" i="1" s="1"/>
  <c r="L51" i="1"/>
  <c r="L20" i="1"/>
  <c r="AI19" i="1"/>
  <c r="BZ19" i="1" s="1"/>
  <c r="F7" i="11" s="1"/>
  <c r="I20" i="1"/>
  <c r="L42" i="1"/>
  <c r="L38" i="1"/>
  <c r="L26" i="1"/>
  <c r="F38" i="1"/>
  <c r="H38" i="1" s="1"/>
  <c r="H55" i="1"/>
  <c r="M55" i="1" s="1"/>
  <c r="L46" i="1"/>
  <c r="L22" i="1"/>
  <c r="AH19" i="1"/>
  <c r="AG19" i="1"/>
  <c r="M51" i="1" l="1"/>
  <c r="O51" i="1" s="1"/>
  <c r="R51" i="1" s="1"/>
  <c r="K27" i="1"/>
  <c r="N27" i="1" s="1"/>
  <c r="M54" i="1"/>
  <c r="O54" i="1" s="1"/>
  <c r="R54" i="1" s="1"/>
  <c r="AK19" i="1"/>
  <c r="AL19" i="1" s="1"/>
  <c r="AN19" i="1" s="1"/>
  <c r="AO19" i="1" s="1"/>
  <c r="M44" i="1"/>
  <c r="O44" i="1" s="1"/>
  <c r="S44" i="1" s="1"/>
  <c r="M33" i="1"/>
  <c r="O33" i="1" s="1"/>
  <c r="H15" i="1"/>
  <c r="M19" i="1"/>
  <c r="O19" i="1" s="1"/>
  <c r="H16" i="1"/>
  <c r="K46" i="1"/>
  <c r="O46" i="1" s="1"/>
  <c r="K53" i="1"/>
  <c r="K49" i="1"/>
  <c r="K45" i="1"/>
  <c r="K30" i="1"/>
  <c r="N30" i="1" s="1"/>
  <c r="K56" i="1"/>
  <c r="M53" i="1"/>
  <c r="M38" i="1"/>
  <c r="K48" i="1"/>
  <c r="K43" i="1"/>
  <c r="M45" i="1"/>
  <c r="K29" i="1"/>
  <c r="K20" i="1"/>
  <c r="K39" i="1"/>
  <c r="N39" i="1" s="1"/>
  <c r="K52" i="1"/>
  <c r="K47" i="1"/>
  <c r="K37" i="1"/>
  <c r="N37" i="1" s="1"/>
  <c r="M48" i="1"/>
  <c r="K41" i="1"/>
  <c r="K38" i="1"/>
  <c r="K42" i="1"/>
  <c r="M20" i="1"/>
  <c r="K36" i="1"/>
  <c r="N36" i="1" s="1"/>
  <c r="K50" i="1"/>
  <c r="N50" i="1" s="1"/>
  <c r="K55" i="1"/>
  <c r="N55" i="1" s="1"/>
  <c r="K34" i="1"/>
  <c r="K25" i="1"/>
  <c r="N25" i="1" s="1"/>
  <c r="K23" i="1"/>
  <c r="N23" i="1" s="1"/>
  <c r="K21" i="1"/>
  <c r="N21" i="1" s="1"/>
  <c r="K28" i="1"/>
  <c r="N28" i="1" s="1"/>
  <c r="M22" i="1"/>
  <c r="O22" i="1" s="1"/>
  <c r="K26" i="1"/>
  <c r="M34" i="1"/>
  <c r="M49" i="1"/>
  <c r="K24" i="1"/>
  <c r="N24" i="1" s="1"/>
  <c r="K57" i="1"/>
  <c r="N57" i="1" s="1"/>
  <c r="K40" i="1"/>
  <c r="K32" i="1"/>
  <c r="N32" i="1" s="1"/>
  <c r="M42" i="1"/>
  <c r="K31" i="1"/>
  <c r="N31" i="1" s="1"/>
  <c r="K35" i="1"/>
  <c r="N35" i="1" s="1"/>
  <c r="O27" i="1" l="1"/>
  <c r="R27" i="1" s="1"/>
  <c r="N33" i="1"/>
  <c r="N54" i="1"/>
  <c r="N51" i="1"/>
  <c r="N44" i="1"/>
  <c r="N45" i="1"/>
  <c r="N46" i="1"/>
  <c r="R44" i="1"/>
  <c r="Q44" i="1"/>
  <c r="P44" i="1"/>
  <c r="N19" i="1"/>
  <c r="R19" i="1"/>
  <c r="V19" i="1" s="1"/>
  <c r="U7" i="1" s="1"/>
  <c r="P19" i="1"/>
  <c r="T19" i="1" s="1"/>
  <c r="U9" i="1" s="1"/>
  <c r="N49" i="1"/>
  <c r="N34" i="1"/>
  <c r="N48" i="1"/>
  <c r="N53" i="1"/>
  <c r="R46" i="1"/>
  <c r="P46" i="1"/>
  <c r="N38" i="1"/>
  <c r="S22" i="1"/>
  <c r="Q22" i="1"/>
  <c r="R22" i="1"/>
  <c r="P22" i="1"/>
  <c r="Q33" i="1"/>
  <c r="S33" i="1"/>
  <c r="P33" i="1"/>
  <c r="O52" i="1"/>
  <c r="O40" i="1"/>
  <c r="O25" i="1"/>
  <c r="R25" i="1" s="1"/>
  <c r="O36" i="1"/>
  <c r="R36" i="1" s="1"/>
  <c r="O38" i="1"/>
  <c r="R38" i="1" s="1"/>
  <c r="N20" i="1"/>
  <c r="O20" i="1"/>
  <c r="Q51" i="1"/>
  <c r="P51" i="1"/>
  <c r="S51" i="1"/>
  <c r="O56" i="1"/>
  <c r="R56" i="1" s="1"/>
  <c r="O49" i="1"/>
  <c r="S46" i="1"/>
  <c r="Q46" i="1"/>
  <c r="R33" i="1"/>
  <c r="O47" i="1"/>
  <c r="O29" i="1"/>
  <c r="O43" i="1"/>
  <c r="O30" i="1"/>
  <c r="R30" i="1" s="1"/>
  <c r="O31" i="1"/>
  <c r="N40" i="1"/>
  <c r="O26" i="1"/>
  <c r="R26" i="1" s="1"/>
  <c r="N22" i="1"/>
  <c r="O55" i="1"/>
  <c r="R55" i="1" s="1"/>
  <c r="O50" i="1"/>
  <c r="R50" i="1" s="1"/>
  <c r="S54" i="1"/>
  <c r="Q54" i="1"/>
  <c r="P54" i="1"/>
  <c r="N26" i="1"/>
  <c r="N56" i="1"/>
  <c r="O45" i="1"/>
  <c r="O57" i="1"/>
  <c r="O21" i="1"/>
  <c r="O41" i="1"/>
  <c r="O35" i="1"/>
  <c r="O32" i="1"/>
  <c r="R32" i="1" s="1"/>
  <c r="O24" i="1"/>
  <c r="R24" i="1" s="1"/>
  <c r="O28" i="1"/>
  <c r="R28" i="1" s="1"/>
  <c r="O23" i="1"/>
  <c r="O34" i="1"/>
  <c r="O42" i="1"/>
  <c r="N41" i="1"/>
  <c r="O37" i="1"/>
  <c r="N47" i="1"/>
  <c r="S19" i="1"/>
  <c r="W19" i="1" s="1"/>
  <c r="Q19" i="1"/>
  <c r="U19" i="1" s="1"/>
  <c r="N52" i="1"/>
  <c r="O39" i="1"/>
  <c r="R39" i="1" s="1"/>
  <c r="N42" i="1"/>
  <c r="N29" i="1"/>
  <c r="N43" i="1"/>
  <c r="O48" i="1"/>
  <c r="R48" i="1" s="1"/>
  <c r="O53" i="1"/>
  <c r="AM19" i="1"/>
  <c r="AP19" i="1"/>
  <c r="AR19" i="1" s="1"/>
  <c r="AS19" i="1" s="1"/>
  <c r="Q27" i="1" l="1"/>
  <c r="P27" i="1"/>
  <c r="T27" i="1" s="1"/>
  <c r="S27" i="1"/>
  <c r="T51" i="1"/>
  <c r="T44" i="1"/>
  <c r="T22" i="1"/>
  <c r="T54" i="1"/>
  <c r="T33" i="1"/>
  <c r="T46" i="1"/>
  <c r="R20" i="1"/>
  <c r="P20" i="1"/>
  <c r="T20" i="1" s="1"/>
  <c r="Q37" i="1"/>
  <c r="S37" i="1"/>
  <c r="P37" i="1"/>
  <c r="T37" i="1" s="1"/>
  <c r="S23" i="1"/>
  <c r="Q23" i="1"/>
  <c r="P23" i="1"/>
  <c r="T23" i="1" s="1"/>
  <c r="Q45" i="1"/>
  <c r="S45" i="1"/>
  <c r="P45" i="1"/>
  <c r="T45" i="1" s="1"/>
  <c r="Q52" i="1"/>
  <c r="S52" i="1"/>
  <c r="P52" i="1"/>
  <c r="T52" i="1" s="1"/>
  <c r="S41" i="1"/>
  <c r="Q41" i="1"/>
  <c r="P41" i="1"/>
  <c r="T41" i="1" s="1"/>
  <c r="S57" i="1"/>
  <c r="Q57" i="1"/>
  <c r="P57" i="1"/>
  <c r="T57" i="1" s="1"/>
  <c r="S26" i="1"/>
  <c r="Q26" i="1"/>
  <c r="P26" i="1"/>
  <c r="T26" i="1" s="1"/>
  <c r="S29" i="1"/>
  <c r="Q29" i="1"/>
  <c r="P29" i="1"/>
  <c r="T29" i="1" s="1"/>
  <c r="S49" i="1"/>
  <c r="Q49" i="1"/>
  <c r="P49" i="1"/>
  <c r="T49" i="1" s="1"/>
  <c r="Q40" i="1"/>
  <c r="S40" i="1"/>
  <c r="P40" i="1"/>
  <c r="T40" i="1" s="1"/>
  <c r="V7" i="1"/>
  <c r="X19" i="1"/>
  <c r="AA19" i="1" s="1"/>
  <c r="U6" i="1"/>
  <c r="V6" i="1" s="1"/>
  <c r="Q42" i="1"/>
  <c r="S42" i="1"/>
  <c r="P42" i="1"/>
  <c r="T42" i="1" s="1"/>
  <c r="S35" i="1"/>
  <c r="Q35" i="1"/>
  <c r="P35" i="1"/>
  <c r="T35" i="1" s="1"/>
  <c r="S31" i="1"/>
  <c r="Q31" i="1"/>
  <c r="P31" i="1"/>
  <c r="T31" i="1" s="1"/>
  <c r="Q47" i="1"/>
  <c r="S47" i="1"/>
  <c r="P47" i="1"/>
  <c r="T47" i="1" s="1"/>
  <c r="S48" i="1"/>
  <c r="Q48" i="1"/>
  <c r="P48" i="1"/>
  <c r="T48" i="1" s="1"/>
  <c r="U8" i="1"/>
  <c r="V8" i="1" s="1"/>
  <c r="Z19" i="1"/>
  <c r="AC19" i="1" s="1"/>
  <c r="R37" i="1"/>
  <c r="S34" i="1"/>
  <c r="Q34" i="1"/>
  <c r="P34" i="1"/>
  <c r="T34" i="1" s="1"/>
  <c r="S53" i="1"/>
  <c r="Q53" i="1"/>
  <c r="P53" i="1"/>
  <c r="T53" i="1" s="1"/>
  <c r="Q39" i="1"/>
  <c r="S39" i="1"/>
  <c r="P39" i="1"/>
  <c r="T39" i="1" s="1"/>
  <c r="R34" i="1"/>
  <c r="Q28" i="1"/>
  <c r="S28" i="1"/>
  <c r="P28" i="1"/>
  <c r="T28" i="1" s="1"/>
  <c r="S32" i="1"/>
  <c r="Q32" i="1"/>
  <c r="P32" i="1"/>
  <c r="T32" i="1" s="1"/>
  <c r="R41" i="1"/>
  <c r="R57" i="1"/>
  <c r="S55" i="1"/>
  <c r="Q55" i="1"/>
  <c r="P55" i="1"/>
  <c r="T55" i="1" s="1"/>
  <c r="S30" i="1"/>
  <c r="Q30" i="1"/>
  <c r="P30" i="1"/>
  <c r="T30" i="1" s="1"/>
  <c r="R29" i="1"/>
  <c r="R49" i="1"/>
  <c r="S36" i="1"/>
  <c r="Q36" i="1"/>
  <c r="P36" i="1"/>
  <c r="T36" i="1" s="1"/>
  <c r="R40" i="1"/>
  <c r="Y19" i="1"/>
  <c r="AB19" i="1" s="1"/>
  <c r="S21" i="1"/>
  <c r="Q21" i="1"/>
  <c r="P21" i="1"/>
  <c r="T21" i="1" s="1"/>
  <c r="S43" i="1"/>
  <c r="Q43" i="1"/>
  <c r="P43" i="1"/>
  <c r="T43" i="1" s="1"/>
  <c r="R53" i="1"/>
  <c r="R42" i="1"/>
  <c r="R23" i="1"/>
  <c r="S24" i="1"/>
  <c r="Q24" i="1"/>
  <c r="P24" i="1"/>
  <c r="T24" i="1" s="1"/>
  <c r="R35" i="1"/>
  <c r="R21" i="1"/>
  <c r="R45" i="1"/>
  <c r="Q50" i="1"/>
  <c r="S50" i="1"/>
  <c r="P50" i="1"/>
  <c r="T50" i="1" s="1"/>
  <c r="R31" i="1"/>
  <c r="R43" i="1"/>
  <c r="R47" i="1"/>
  <c r="S56" i="1"/>
  <c r="Q56" i="1"/>
  <c r="P56" i="1"/>
  <c r="T56" i="1" s="1"/>
  <c r="Q20" i="1"/>
  <c r="S20" i="1"/>
  <c r="Q38" i="1"/>
  <c r="S38" i="1"/>
  <c r="P38" i="1"/>
  <c r="T38" i="1" s="1"/>
  <c r="S25" i="1"/>
  <c r="Q25" i="1"/>
  <c r="P25" i="1"/>
  <c r="T25" i="1" s="1"/>
  <c r="R52" i="1"/>
  <c r="AQ19" i="1"/>
  <c r="AT19" i="1"/>
  <c r="AV19" i="1" s="1"/>
  <c r="AW19" i="1" s="1"/>
  <c r="V30" i="1" l="1"/>
  <c r="Y30" i="1" s="1"/>
  <c r="AB30" i="1" s="1"/>
  <c r="AH30" i="1" s="1"/>
  <c r="V32" i="1"/>
  <c r="Y32" i="1" s="1"/>
  <c r="AB32" i="1" s="1"/>
  <c r="AH32" i="1" s="1"/>
  <c r="V56" i="1"/>
  <c r="Y56" i="1" s="1"/>
  <c r="AB56" i="1" s="1"/>
  <c r="AH56" i="1" s="1"/>
  <c r="V24" i="1"/>
  <c r="Y24" i="1" s="1"/>
  <c r="AB24" i="1" s="1"/>
  <c r="AH24" i="1" s="1"/>
  <c r="V36" i="1"/>
  <c r="Y36" i="1" s="1"/>
  <c r="AB36" i="1" s="1"/>
  <c r="AH36" i="1" s="1"/>
  <c r="W27" i="1"/>
  <c r="Z27" i="1" s="1"/>
  <c r="AC27" i="1" s="1"/>
  <c r="AI27" i="1" s="1"/>
  <c r="BZ27" i="1" s="1"/>
  <c r="F15" i="11" s="1"/>
  <c r="F50" i="11" s="1"/>
  <c r="U22" i="1"/>
  <c r="X22" i="1" s="1"/>
  <c r="AA22" i="1" s="1"/>
  <c r="AG22" i="1" s="1"/>
  <c r="V37" i="1"/>
  <c r="Y37" i="1" s="1"/>
  <c r="AB37" i="1" s="1"/>
  <c r="AH37" i="1" s="1"/>
  <c r="W22" i="1"/>
  <c r="Z22" i="1" s="1"/>
  <c r="AC22" i="1" s="1"/>
  <c r="AI22" i="1" s="1"/>
  <c r="BZ22" i="1" s="1"/>
  <c r="F10" i="11" s="1"/>
  <c r="F80" i="11" s="1"/>
  <c r="V43" i="1"/>
  <c r="Y43" i="1" s="1"/>
  <c r="AB43" i="1" s="1"/>
  <c r="AH43" i="1" s="1"/>
  <c r="V45" i="1"/>
  <c r="Y45" i="1" s="1"/>
  <c r="AB45" i="1" s="1"/>
  <c r="AH45" i="1" s="1"/>
  <c r="V31" i="1"/>
  <c r="Y31" i="1" s="1"/>
  <c r="AB31" i="1" s="1"/>
  <c r="AH31" i="1" s="1"/>
  <c r="V52" i="1"/>
  <c r="Y52" i="1" s="1"/>
  <c r="AB52" i="1" s="1"/>
  <c r="AH52" i="1" s="1"/>
  <c r="V38" i="1"/>
  <c r="Y38" i="1" s="1"/>
  <c r="AB38" i="1" s="1"/>
  <c r="AH38" i="1" s="1"/>
  <c r="V50" i="1"/>
  <c r="Y50" i="1" s="1"/>
  <c r="AB50" i="1" s="1"/>
  <c r="AH50" i="1" s="1"/>
  <c r="V21" i="1"/>
  <c r="Y21" i="1" s="1"/>
  <c r="AB21" i="1" s="1"/>
  <c r="AH21" i="1" s="1"/>
  <c r="V33" i="1"/>
  <c r="Y33" i="1" s="1"/>
  <c r="AB33" i="1" s="1"/>
  <c r="AH33" i="1" s="1"/>
  <c r="V25" i="1"/>
  <c r="Y25" i="1" s="1"/>
  <c r="AB25" i="1" s="1"/>
  <c r="AH25" i="1" s="1"/>
  <c r="V35" i="1"/>
  <c r="Y35" i="1" s="1"/>
  <c r="AB35" i="1" s="1"/>
  <c r="AH35" i="1" s="1"/>
  <c r="V46" i="1"/>
  <c r="Y46" i="1" s="1"/>
  <c r="AB46" i="1" s="1"/>
  <c r="AH46" i="1" s="1"/>
  <c r="V55" i="1"/>
  <c r="Y55" i="1" s="1"/>
  <c r="AB55" i="1" s="1"/>
  <c r="AH55" i="1" s="1"/>
  <c r="V28" i="1"/>
  <c r="V16" i="1" s="1"/>
  <c r="V39" i="1"/>
  <c r="Y39" i="1" s="1"/>
  <c r="AB39" i="1" s="1"/>
  <c r="AH39" i="1" s="1"/>
  <c r="V48" i="1"/>
  <c r="Y48" i="1" s="1"/>
  <c r="AB48" i="1" s="1"/>
  <c r="AH48" i="1" s="1"/>
  <c r="V23" i="1"/>
  <c r="Y23" i="1" s="1"/>
  <c r="AB23" i="1" s="1"/>
  <c r="AH23" i="1" s="1"/>
  <c r="V57" i="1"/>
  <c r="Y57" i="1" s="1"/>
  <c r="AB57" i="1" s="1"/>
  <c r="AH57" i="1" s="1"/>
  <c r="W50" i="1"/>
  <c r="Z50" i="1" s="1"/>
  <c r="AC50" i="1" s="1"/>
  <c r="AI50" i="1" s="1"/>
  <c r="BZ50" i="1" s="1"/>
  <c r="F38" i="11" s="1"/>
  <c r="F78" i="11" s="1"/>
  <c r="W46" i="1"/>
  <c r="Z46" i="1" s="1"/>
  <c r="AC46" i="1" s="1"/>
  <c r="AI46" i="1" s="1"/>
  <c r="BZ46" i="1" s="1"/>
  <c r="F34" i="11" s="1"/>
  <c r="F54" i="11" s="1"/>
  <c r="V27" i="1"/>
  <c r="Y27" i="1" s="1"/>
  <c r="AB27" i="1" s="1"/>
  <c r="AH27" i="1" s="1"/>
  <c r="W32" i="1"/>
  <c r="Z32" i="1" s="1"/>
  <c r="AC32" i="1" s="1"/>
  <c r="AI32" i="1" s="1"/>
  <c r="BZ32" i="1" s="1"/>
  <c r="F20" i="11" s="1"/>
  <c r="F75" i="11" s="1"/>
  <c r="U31" i="1"/>
  <c r="X31" i="1" s="1"/>
  <c r="AA31" i="1" s="1"/>
  <c r="AG31" i="1" s="1"/>
  <c r="U51" i="1"/>
  <c r="X51" i="1" s="1"/>
  <c r="AA51" i="1" s="1"/>
  <c r="AG51" i="1" s="1"/>
  <c r="U56" i="1"/>
  <c r="X56" i="1" s="1"/>
  <c r="AA56" i="1" s="1"/>
  <c r="AG56" i="1" s="1"/>
  <c r="U50" i="1"/>
  <c r="X50" i="1" s="1"/>
  <c r="AA50" i="1" s="1"/>
  <c r="AG50" i="1" s="1"/>
  <c r="U21" i="1"/>
  <c r="X21" i="1" s="1"/>
  <c r="AA21" i="1" s="1"/>
  <c r="AG21" i="1" s="1"/>
  <c r="W56" i="1"/>
  <c r="Z56" i="1" s="1"/>
  <c r="AC56" i="1" s="1"/>
  <c r="AI56" i="1" s="1"/>
  <c r="BZ56" i="1" s="1"/>
  <c r="F44" i="11" s="1"/>
  <c r="F79" i="11" s="1"/>
  <c r="V53" i="1"/>
  <c r="Y53" i="1" s="1"/>
  <c r="AB53" i="1" s="1"/>
  <c r="AH53" i="1" s="1"/>
  <c r="W21" i="1"/>
  <c r="Z21" i="1" s="1"/>
  <c r="AC21" i="1" s="1"/>
  <c r="AI21" i="1" s="1"/>
  <c r="BZ21" i="1" s="1"/>
  <c r="F9" i="11" s="1"/>
  <c r="V40" i="1"/>
  <c r="Y40" i="1" s="1"/>
  <c r="AB40" i="1" s="1"/>
  <c r="AH40" i="1" s="1"/>
  <c r="W54" i="1"/>
  <c r="Z54" i="1" s="1"/>
  <c r="AC54" i="1" s="1"/>
  <c r="AI54" i="1" s="1"/>
  <c r="BZ54" i="1" s="1"/>
  <c r="F42" i="11" s="1"/>
  <c r="F67" i="11" s="1"/>
  <c r="U33" i="1"/>
  <c r="X33" i="1" s="1"/>
  <c r="AA33" i="1" s="1"/>
  <c r="AG33" i="1" s="1"/>
  <c r="U40" i="1"/>
  <c r="X40" i="1" s="1"/>
  <c r="AA40" i="1" s="1"/>
  <c r="AG40" i="1" s="1"/>
  <c r="U54" i="1"/>
  <c r="X54" i="1" s="1"/>
  <c r="AA54" i="1" s="1"/>
  <c r="AG54" i="1" s="1"/>
  <c r="W45" i="1"/>
  <c r="Z45" i="1" s="1"/>
  <c r="AC45" i="1" s="1"/>
  <c r="AI45" i="1" s="1"/>
  <c r="BZ45" i="1" s="1"/>
  <c r="F33" i="11" s="1"/>
  <c r="F83" i="11" s="1"/>
  <c r="W23" i="1"/>
  <c r="Z23" i="1" s="1"/>
  <c r="AC23" i="1" s="1"/>
  <c r="AI23" i="1" s="1"/>
  <c r="BZ23" i="1" s="1"/>
  <c r="F11" i="11" s="1"/>
  <c r="F74" i="11" s="1"/>
  <c r="U27" i="1"/>
  <c r="X27" i="1" s="1"/>
  <c r="AA27" i="1" s="1"/>
  <c r="AG27" i="1" s="1"/>
  <c r="U46" i="1"/>
  <c r="X46" i="1" s="1"/>
  <c r="AA46" i="1" s="1"/>
  <c r="AG46" i="1" s="1"/>
  <c r="V29" i="1"/>
  <c r="Y29" i="1" s="1"/>
  <c r="AB29" i="1" s="1"/>
  <c r="AH29" i="1" s="1"/>
  <c r="U32" i="1"/>
  <c r="X32" i="1" s="1"/>
  <c r="AA32" i="1" s="1"/>
  <c r="AG32" i="1" s="1"/>
  <c r="U28" i="1"/>
  <c r="X28" i="1" s="1"/>
  <c r="AA28" i="1" s="1"/>
  <c r="AG28" i="1" s="1"/>
  <c r="U39" i="1"/>
  <c r="X39" i="1" s="1"/>
  <c r="AA39" i="1" s="1"/>
  <c r="AG39" i="1" s="1"/>
  <c r="W48" i="1"/>
  <c r="Z48" i="1" s="1"/>
  <c r="AC48" i="1" s="1"/>
  <c r="AI48" i="1" s="1"/>
  <c r="BZ48" i="1" s="1"/>
  <c r="F36" i="11" s="1"/>
  <c r="F66" i="11" s="1"/>
  <c r="U35" i="1"/>
  <c r="X35" i="1" s="1"/>
  <c r="AA35" i="1" s="1"/>
  <c r="AG35" i="1" s="1"/>
  <c r="U42" i="1"/>
  <c r="X42" i="1" s="1"/>
  <c r="AA42" i="1" s="1"/>
  <c r="AG42" i="1" s="1"/>
  <c r="V26" i="1"/>
  <c r="Y26" i="1" s="1"/>
  <c r="AB26" i="1" s="1"/>
  <c r="AH26" i="1" s="1"/>
  <c r="W38" i="1"/>
  <c r="Z38" i="1" s="1"/>
  <c r="AC38" i="1" s="1"/>
  <c r="AI38" i="1" s="1"/>
  <c r="BZ38" i="1" s="1"/>
  <c r="F26" i="11" s="1"/>
  <c r="F76" i="11" s="1"/>
  <c r="V34" i="1"/>
  <c r="Y34" i="1" s="1"/>
  <c r="AB34" i="1" s="1"/>
  <c r="AH34" i="1" s="1"/>
  <c r="U34" i="1"/>
  <c r="X34" i="1" s="1"/>
  <c r="AA34" i="1" s="1"/>
  <c r="AG34" i="1" s="1"/>
  <c r="W36" i="1"/>
  <c r="Z36" i="1" s="1"/>
  <c r="AC36" i="1" s="1"/>
  <c r="AI36" i="1" s="1"/>
  <c r="BZ36" i="1" s="1"/>
  <c r="F24" i="11" s="1"/>
  <c r="F64" i="11" s="1"/>
  <c r="W8" i="1"/>
  <c r="W20" i="1" s="1"/>
  <c r="Z20" i="1" s="1"/>
  <c r="AC20" i="1" s="1"/>
  <c r="AI20" i="1" s="1"/>
  <c r="BZ20" i="1" s="1"/>
  <c r="F8" i="11" s="1"/>
  <c r="W33" i="1"/>
  <c r="Z33" i="1" s="1"/>
  <c r="AC33" i="1" s="1"/>
  <c r="AI33" i="1" s="1"/>
  <c r="BZ33" i="1" s="1"/>
  <c r="F21" i="11" s="1"/>
  <c r="F81" i="11" s="1"/>
  <c r="W47" i="1"/>
  <c r="Z47" i="1" s="1"/>
  <c r="AC47" i="1" s="1"/>
  <c r="AI47" i="1" s="1"/>
  <c r="BZ47" i="1" s="1"/>
  <c r="F35" i="11" s="1"/>
  <c r="F60" i="11" s="1"/>
  <c r="W31" i="1"/>
  <c r="Z31" i="1" s="1"/>
  <c r="AC31" i="1" s="1"/>
  <c r="AI31" i="1" s="1"/>
  <c r="BZ31" i="1" s="1"/>
  <c r="F19" i="11" s="1"/>
  <c r="F69" i="11" s="1"/>
  <c r="W35" i="1"/>
  <c r="Z35" i="1" s="1"/>
  <c r="AC35" i="1" s="1"/>
  <c r="AI35" i="1" s="1"/>
  <c r="BZ35" i="1" s="1"/>
  <c r="F23" i="11" s="1"/>
  <c r="F58" i="11" s="1"/>
  <c r="U44" i="1"/>
  <c r="X44" i="1" s="1"/>
  <c r="AA44" i="1" s="1"/>
  <c r="AG44" i="1" s="1"/>
  <c r="W6" i="1"/>
  <c r="U20" i="1" s="1"/>
  <c r="X20" i="1" s="1"/>
  <c r="AA20" i="1" s="1"/>
  <c r="AG20" i="1" s="1"/>
  <c r="V42" i="1"/>
  <c r="Y42" i="1" s="1"/>
  <c r="AB42" i="1" s="1"/>
  <c r="AH42" i="1" s="1"/>
  <c r="W7" i="1"/>
  <c r="V20" i="1" s="1"/>
  <c r="Y20" i="1" s="1"/>
  <c r="AB20" i="1" s="1"/>
  <c r="AH20" i="1" s="1"/>
  <c r="U49" i="1"/>
  <c r="X49" i="1" s="1"/>
  <c r="AA49" i="1" s="1"/>
  <c r="AG49" i="1" s="1"/>
  <c r="U29" i="1"/>
  <c r="X29" i="1" s="1"/>
  <c r="AA29" i="1" s="1"/>
  <c r="AG29" i="1" s="1"/>
  <c r="U26" i="1"/>
  <c r="X26" i="1" s="1"/>
  <c r="AA26" i="1" s="1"/>
  <c r="AG26" i="1" s="1"/>
  <c r="U41" i="1"/>
  <c r="X41" i="1" s="1"/>
  <c r="AA41" i="1" s="1"/>
  <c r="AG41" i="1" s="1"/>
  <c r="U45" i="1"/>
  <c r="X45" i="1" s="1"/>
  <c r="AA45" i="1" s="1"/>
  <c r="AG45" i="1" s="1"/>
  <c r="U24" i="1"/>
  <c r="X24" i="1" s="1"/>
  <c r="AA24" i="1" s="1"/>
  <c r="AG24" i="1" s="1"/>
  <c r="U55" i="1"/>
  <c r="X55" i="1" s="1"/>
  <c r="AA55" i="1" s="1"/>
  <c r="AG55" i="1" s="1"/>
  <c r="U25" i="1"/>
  <c r="X25" i="1" s="1"/>
  <c r="AA25" i="1" s="1"/>
  <c r="AG25" i="1" s="1"/>
  <c r="U38" i="1"/>
  <c r="X38" i="1" s="1"/>
  <c r="AA38" i="1" s="1"/>
  <c r="AG38" i="1" s="1"/>
  <c r="W24" i="1"/>
  <c r="Z24" i="1" s="1"/>
  <c r="AC24" i="1" s="1"/>
  <c r="AI24" i="1" s="1"/>
  <c r="BZ24" i="1" s="1"/>
  <c r="F12" i="11" s="1"/>
  <c r="F68" i="11" s="1"/>
  <c r="W43" i="1"/>
  <c r="Z43" i="1" s="1"/>
  <c r="AC43" i="1" s="1"/>
  <c r="AI43" i="1" s="1"/>
  <c r="BZ43" i="1" s="1"/>
  <c r="F31" i="11" s="1"/>
  <c r="F71" i="11" s="1"/>
  <c r="V49" i="1"/>
  <c r="Y49" i="1" s="1"/>
  <c r="AB49" i="1" s="1"/>
  <c r="AH49" i="1" s="1"/>
  <c r="U30" i="1"/>
  <c r="X30" i="1" s="1"/>
  <c r="AA30" i="1" s="1"/>
  <c r="AG30" i="1" s="1"/>
  <c r="W55" i="1"/>
  <c r="Z55" i="1" s="1"/>
  <c r="AC55" i="1" s="1"/>
  <c r="AI55" i="1" s="1"/>
  <c r="BZ55" i="1" s="1"/>
  <c r="F43" i="11" s="1"/>
  <c r="F73" i="11" s="1"/>
  <c r="V41" i="1"/>
  <c r="Y41" i="1" s="1"/>
  <c r="AB41" i="1" s="1"/>
  <c r="AH41" i="1" s="1"/>
  <c r="U53" i="1"/>
  <c r="X53" i="1" s="1"/>
  <c r="AA53" i="1" s="1"/>
  <c r="AG53" i="1" s="1"/>
  <c r="W34" i="1"/>
  <c r="Z34" i="1" s="1"/>
  <c r="AC34" i="1" s="1"/>
  <c r="AI34" i="1" s="1"/>
  <c r="BZ34" i="1" s="1"/>
  <c r="F22" i="11" s="1"/>
  <c r="F52" i="11" s="1"/>
  <c r="U47" i="1"/>
  <c r="X47" i="1" s="1"/>
  <c r="AA47" i="1" s="1"/>
  <c r="AG47" i="1" s="1"/>
  <c r="V54" i="1"/>
  <c r="Y54" i="1" s="1"/>
  <c r="AB54" i="1" s="1"/>
  <c r="AH54" i="1" s="1"/>
  <c r="V51" i="1"/>
  <c r="Y51" i="1" s="1"/>
  <c r="AB51" i="1" s="1"/>
  <c r="AH51" i="1" s="1"/>
  <c r="W49" i="1"/>
  <c r="Z49" i="1" s="1"/>
  <c r="AC49" i="1" s="1"/>
  <c r="AI49" i="1" s="1"/>
  <c r="BZ49" i="1" s="1"/>
  <c r="F37" i="11" s="1"/>
  <c r="F72" i="11" s="1"/>
  <c r="W29" i="1"/>
  <c r="Z29" i="1" s="1"/>
  <c r="AC29" i="1" s="1"/>
  <c r="AI29" i="1" s="1"/>
  <c r="BZ29" i="1" s="1"/>
  <c r="F17" i="11" s="1"/>
  <c r="F57" i="11" s="1"/>
  <c r="W26" i="1"/>
  <c r="Z26" i="1" s="1"/>
  <c r="AC26" i="1" s="1"/>
  <c r="AI26" i="1" s="1"/>
  <c r="BZ26" i="1" s="1"/>
  <c r="F14" i="11" s="1"/>
  <c r="F56" i="11" s="1"/>
  <c r="U57" i="1"/>
  <c r="X57" i="1" s="1"/>
  <c r="AA57" i="1" s="1"/>
  <c r="AG57" i="1" s="1"/>
  <c r="W41" i="1"/>
  <c r="Z41" i="1" s="1"/>
  <c r="AC41" i="1" s="1"/>
  <c r="AI41" i="1" s="1"/>
  <c r="BZ41" i="1" s="1"/>
  <c r="F29" i="11" s="1"/>
  <c r="F59" i="11" s="1"/>
  <c r="W52" i="1"/>
  <c r="Z52" i="1" s="1"/>
  <c r="AC52" i="1" s="1"/>
  <c r="AI52" i="1" s="1"/>
  <c r="BZ52" i="1" s="1"/>
  <c r="F40" i="11" s="1"/>
  <c r="F55" i="11" s="1"/>
  <c r="W37" i="1"/>
  <c r="Z37" i="1" s="1"/>
  <c r="AC37" i="1" s="1"/>
  <c r="AI37" i="1" s="1"/>
  <c r="BZ37" i="1" s="1"/>
  <c r="F25" i="11" s="1"/>
  <c r="F70" i="11" s="1"/>
  <c r="U43" i="1"/>
  <c r="X43" i="1" s="1"/>
  <c r="AA43" i="1" s="1"/>
  <c r="AG43" i="1" s="1"/>
  <c r="U36" i="1"/>
  <c r="X36" i="1" s="1"/>
  <c r="AA36" i="1" s="1"/>
  <c r="AG36" i="1" s="1"/>
  <c r="AU19" i="1"/>
  <c r="W25" i="1"/>
  <c r="Z25" i="1" s="1"/>
  <c r="AC25" i="1" s="1"/>
  <c r="AI25" i="1" s="1"/>
  <c r="BZ25" i="1" s="1"/>
  <c r="F13" i="11" s="1"/>
  <c r="F62" i="11" s="1"/>
  <c r="V47" i="1"/>
  <c r="Y47" i="1" s="1"/>
  <c r="AB47" i="1" s="1"/>
  <c r="AH47" i="1" s="1"/>
  <c r="V44" i="1"/>
  <c r="Y44" i="1" s="1"/>
  <c r="AB44" i="1" s="1"/>
  <c r="AH44" i="1" s="1"/>
  <c r="W44" i="1"/>
  <c r="Z44" i="1" s="1"/>
  <c r="AC44" i="1" s="1"/>
  <c r="AI44" i="1" s="1"/>
  <c r="BZ44" i="1" s="1"/>
  <c r="F32" i="11" s="1"/>
  <c r="F77" i="11" s="1"/>
  <c r="W30" i="1"/>
  <c r="Z30" i="1" s="1"/>
  <c r="AC30" i="1" s="1"/>
  <c r="AI30" i="1" s="1"/>
  <c r="BZ30" i="1" s="1"/>
  <c r="F18" i="11" s="1"/>
  <c r="F63" i="11" s="1"/>
  <c r="W28" i="1"/>
  <c r="Z28" i="1" s="1"/>
  <c r="AC28" i="1" s="1"/>
  <c r="AI28" i="1" s="1"/>
  <c r="BZ28" i="1" s="1"/>
  <c r="F16" i="11" s="1"/>
  <c r="F51" i="11" s="1"/>
  <c r="W39" i="1"/>
  <c r="Z39" i="1" s="1"/>
  <c r="AC39" i="1" s="1"/>
  <c r="AI39" i="1" s="1"/>
  <c r="BZ39" i="1" s="1"/>
  <c r="F27" i="11" s="1"/>
  <c r="F82" i="11" s="1"/>
  <c r="W53" i="1"/>
  <c r="Z53" i="1" s="1"/>
  <c r="AC53" i="1" s="1"/>
  <c r="AI53" i="1" s="1"/>
  <c r="BZ53" i="1" s="1"/>
  <c r="F41" i="11" s="1"/>
  <c r="F61" i="11" s="1"/>
  <c r="U48" i="1"/>
  <c r="X48" i="1" s="1"/>
  <c r="AA48" i="1" s="1"/>
  <c r="AG48" i="1" s="1"/>
  <c r="W51" i="1"/>
  <c r="Z51" i="1" s="1"/>
  <c r="AC51" i="1" s="1"/>
  <c r="AI51" i="1" s="1"/>
  <c r="BZ51" i="1" s="1"/>
  <c r="F39" i="11" s="1"/>
  <c r="F84" i="11" s="1"/>
  <c r="W42" i="1"/>
  <c r="Z42" i="1" s="1"/>
  <c r="AC42" i="1" s="1"/>
  <c r="AI42" i="1" s="1"/>
  <c r="BZ42" i="1" s="1"/>
  <c r="F30" i="11" s="1"/>
  <c r="F65" i="11" s="1"/>
  <c r="V22" i="1"/>
  <c r="Y22" i="1" s="1"/>
  <c r="AB22" i="1" s="1"/>
  <c r="AH22" i="1" s="1"/>
  <c r="W40" i="1"/>
  <c r="Z40" i="1" s="1"/>
  <c r="AC40" i="1" s="1"/>
  <c r="AI40" i="1" s="1"/>
  <c r="BZ40" i="1" s="1"/>
  <c r="F28" i="11" s="1"/>
  <c r="F53" i="11" s="1"/>
  <c r="W57" i="1"/>
  <c r="Z57" i="1" s="1"/>
  <c r="AC57" i="1" s="1"/>
  <c r="AI57" i="1" s="1"/>
  <c r="BZ57" i="1" s="1"/>
  <c r="F45" i="11" s="1"/>
  <c r="F85" i="11" s="1"/>
  <c r="U52" i="1"/>
  <c r="X52" i="1" s="1"/>
  <c r="AA52" i="1" s="1"/>
  <c r="AG52" i="1" s="1"/>
  <c r="U23" i="1"/>
  <c r="X23" i="1" s="1"/>
  <c r="AA23" i="1" s="1"/>
  <c r="AG23" i="1" s="1"/>
  <c r="U37" i="1"/>
  <c r="X37" i="1" s="1"/>
  <c r="AA37" i="1" s="1"/>
  <c r="AG37" i="1" s="1"/>
  <c r="BC19" i="1"/>
  <c r="BG19" i="1" s="1"/>
  <c r="AX19" i="1"/>
  <c r="AY19" i="1" s="1"/>
  <c r="AK34" i="1" l="1"/>
  <c r="AL34" i="1" s="1"/>
  <c r="AN34" i="1" s="1"/>
  <c r="AO34" i="1" s="1"/>
  <c r="AK51" i="1"/>
  <c r="AL51" i="1" s="1"/>
  <c r="AN51" i="1" s="1"/>
  <c r="AO51" i="1" s="1"/>
  <c r="AK48" i="1"/>
  <c r="AL48" i="1" s="1"/>
  <c r="AM48" i="1" s="1"/>
  <c r="AK21" i="1"/>
  <c r="AL21" i="1" s="1"/>
  <c r="AN21" i="1" s="1"/>
  <c r="AO21" i="1" s="1"/>
  <c r="AK37" i="1"/>
  <c r="AL37" i="1" s="1"/>
  <c r="AN37" i="1" s="1"/>
  <c r="AO37" i="1" s="1"/>
  <c r="AK54" i="1"/>
  <c r="AL54" i="1" s="1"/>
  <c r="AN54" i="1" s="1"/>
  <c r="AO54" i="1" s="1"/>
  <c r="AK26" i="1"/>
  <c r="AL26" i="1" s="1"/>
  <c r="AM26" i="1" s="1"/>
  <c r="AK40" i="1"/>
  <c r="AL40" i="1" s="1"/>
  <c r="AN40" i="1" s="1"/>
  <c r="AO40" i="1" s="1"/>
  <c r="AK39" i="1"/>
  <c r="AL39" i="1" s="1"/>
  <c r="AN39" i="1" s="1"/>
  <c r="AO39" i="1" s="1"/>
  <c r="AP39" i="1" s="1"/>
  <c r="AK50" i="1"/>
  <c r="AL50" i="1" s="1"/>
  <c r="AN50" i="1" s="1"/>
  <c r="AO50" i="1" s="1"/>
  <c r="AK30" i="1"/>
  <c r="AL30" i="1" s="1"/>
  <c r="AM30" i="1" s="1"/>
  <c r="AK38" i="1"/>
  <c r="AL38" i="1" s="1"/>
  <c r="AM38" i="1" s="1"/>
  <c r="AK33" i="1"/>
  <c r="AL33" i="1" s="1"/>
  <c r="AM33" i="1" s="1"/>
  <c r="AK49" i="1"/>
  <c r="AL49" i="1" s="1"/>
  <c r="AN49" i="1" s="1"/>
  <c r="AO49" i="1" s="1"/>
  <c r="AK29" i="1"/>
  <c r="AL29" i="1" s="1"/>
  <c r="AN29" i="1" s="1"/>
  <c r="AO29" i="1" s="1"/>
  <c r="AP29" i="1" s="1"/>
  <c r="AR29" i="1" s="1"/>
  <c r="AS29" i="1" s="1"/>
  <c r="AK44" i="1"/>
  <c r="AL44" i="1" s="1"/>
  <c r="AN44" i="1" s="1"/>
  <c r="AO44" i="1" s="1"/>
  <c r="AK55" i="1"/>
  <c r="AL55" i="1" s="1"/>
  <c r="AM55" i="1" s="1"/>
  <c r="AK36" i="1"/>
  <c r="AL36" i="1" s="1"/>
  <c r="AM36" i="1" s="1"/>
  <c r="AK20" i="1"/>
  <c r="AL20" i="1" s="1"/>
  <c r="AN20" i="1" s="1"/>
  <c r="AO20" i="1" s="1"/>
  <c r="AK46" i="1"/>
  <c r="AL46" i="1" s="1"/>
  <c r="AN46" i="1" s="1"/>
  <c r="AO46" i="1" s="1"/>
  <c r="AK31" i="1"/>
  <c r="AL31" i="1" s="1"/>
  <c r="AN31" i="1" s="1"/>
  <c r="AO31" i="1" s="1"/>
  <c r="AP31" i="1" s="1"/>
  <c r="AR31" i="1" s="1"/>
  <c r="AS31" i="1" s="1"/>
  <c r="AK24" i="1"/>
  <c r="AL24" i="1" s="1"/>
  <c r="AM24" i="1" s="1"/>
  <c r="AK27" i="1"/>
  <c r="AL27" i="1" s="1"/>
  <c r="AM27" i="1" s="1"/>
  <c r="AK52" i="1"/>
  <c r="AL52" i="1" s="1"/>
  <c r="AN52" i="1" s="1"/>
  <c r="AO52" i="1" s="1"/>
  <c r="AP52" i="1" s="1"/>
  <c r="AR52" i="1" s="1"/>
  <c r="AS52" i="1" s="1"/>
  <c r="AT52" i="1" s="1"/>
  <c r="AV52" i="1" s="1"/>
  <c r="AW52" i="1" s="1"/>
  <c r="AX52" i="1" s="1"/>
  <c r="AK47" i="1"/>
  <c r="AL47" i="1" s="1"/>
  <c r="AN47" i="1" s="1"/>
  <c r="AO47" i="1" s="1"/>
  <c r="AK41" i="1"/>
  <c r="AL41" i="1" s="1"/>
  <c r="AN41" i="1" s="1"/>
  <c r="AO41" i="1" s="1"/>
  <c r="AK42" i="1"/>
  <c r="AL42" i="1" s="1"/>
  <c r="AN42" i="1" s="1"/>
  <c r="AO42" i="1" s="1"/>
  <c r="AK35" i="1"/>
  <c r="AL35" i="1" s="1"/>
  <c r="AN35" i="1" s="1"/>
  <c r="AO35" i="1" s="1"/>
  <c r="AP35" i="1" s="1"/>
  <c r="AR35" i="1" s="1"/>
  <c r="AS35" i="1" s="1"/>
  <c r="AT35" i="1" s="1"/>
  <c r="AV35" i="1" s="1"/>
  <c r="AW35" i="1" s="1"/>
  <c r="BC35" i="1" s="1"/>
  <c r="BG35" i="1" s="1"/>
  <c r="AK45" i="1"/>
  <c r="AL45" i="1" s="1"/>
  <c r="AN45" i="1" s="1"/>
  <c r="AO45" i="1" s="1"/>
  <c r="AP45" i="1" s="1"/>
  <c r="AR45" i="1" s="1"/>
  <c r="AS45" i="1" s="1"/>
  <c r="AT45" i="1" s="1"/>
  <c r="AV45" i="1" s="1"/>
  <c r="AW45" i="1" s="1"/>
  <c r="AX45" i="1" s="1"/>
  <c r="AK56" i="1"/>
  <c r="AL56" i="1" s="1"/>
  <c r="AN56" i="1" s="1"/>
  <c r="AO56" i="1" s="1"/>
  <c r="AK23" i="1"/>
  <c r="AL23" i="1" s="1"/>
  <c r="AM23" i="1" s="1"/>
  <c r="AK22" i="1"/>
  <c r="AL22" i="1" s="1"/>
  <c r="AN22" i="1" s="1"/>
  <c r="AO22" i="1" s="1"/>
  <c r="AK53" i="1"/>
  <c r="AL53" i="1" s="1"/>
  <c r="AN53" i="1" s="1"/>
  <c r="AO53" i="1" s="1"/>
  <c r="AK57" i="1"/>
  <c r="AL57" i="1" s="1"/>
  <c r="AM57" i="1" s="1"/>
  <c r="AK25" i="1"/>
  <c r="AL25" i="1" s="1"/>
  <c r="AM25" i="1" s="1"/>
  <c r="AK43" i="1"/>
  <c r="AL43" i="1" s="1"/>
  <c r="AN43" i="1" s="1"/>
  <c r="AO43" i="1" s="1"/>
  <c r="AP43" i="1" s="1"/>
  <c r="AR43" i="1" s="1"/>
  <c r="AS43" i="1" s="1"/>
  <c r="AT43" i="1" s="1"/>
  <c r="AV43" i="1" s="1"/>
  <c r="AW43" i="1" s="1"/>
  <c r="AX43" i="1" s="1"/>
  <c r="AY43" i="1" s="1"/>
  <c r="AK32" i="1"/>
  <c r="AL32" i="1" s="1"/>
  <c r="AN32" i="1" s="1"/>
  <c r="AO32" i="1" s="1"/>
  <c r="AP32" i="1" s="1"/>
  <c r="AR32" i="1" s="1"/>
  <c r="AS32" i="1" s="1"/>
  <c r="AT32" i="1" s="1"/>
  <c r="AV32" i="1" s="1"/>
  <c r="AW32" i="1" s="1"/>
  <c r="AX32" i="1" s="1"/>
  <c r="AY32" i="1" s="1"/>
  <c r="V15" i="1"/>
  <c r="Y28" i="1"/>
  <c r="AB28" i="1" s="1"/>
  <c r="AH28" i="1" s="1"/>
  <c r="AZ19" i="1"/>
  <c r="BD19" i="1"/>
  <c r="BA19" i="1"/>
  <c r="BO19" i="1"/>
  <c r="CB19" i="1" s="1"/>
  <c r="L7" i="11" s="1"/>
  <c r="BH19" i="1"/>
  <c r="AN30" i="1" l="1"/>
  <c r="AO30" i="1" s="1"/>
  <c r="AP30" i="1" s="1"/>
  <c r="AR30" i="1" s="1"/>
  <c r="AS30" i="1" s="1"/>
  <c r="AN25" i="1"/>
  <c r="AO25" i="1" s="1"/>
  <c r="AP25" i="1" s="1"/>
  <c r="AR25" i="1" s="1"/>
  <c r="AS25" i="1" s="1"/>
  <c r="AN26" i="1"/>
  <c r="AO26" i="1" s="1"/>
  <c r="AP26" i="1" s="1"/>
  <c r="AR26" i="1" s="1"/>
  <c r="AS26" i="1" s="1"/>
  <c r="AM50" i="1"/>
  <c r="AN36" i="1"/>
  <c r="AO36" i="1" s="1"/>
  <c r="AP36" i="1" s="1"/>
  <c r="AR36" i="1" s="1"/>
  <c r="AS36" i="1" s="1"/>
  <c r="AN24" i="1"/>
  <c r="AO24" i="1" s="1"/>
  <c r="AP24" i="1" s="1"/>
  <c r="AR24" i="1" s="1"/>
  <c r="AS24" i="1" s="1"/>
  <c r="AN55" i="1"/>
  <c r="AO55" i="1" s="1"/>
  <c r="AP55" i="1" s="1"/>
  <c r="AR55" i="1" s="1"/>
  <c r="AS55" i="1" s="1"/>
  <c r="AM31" i="1"/>
  <c r="AM29" i="1"/>
  <c r="AN33" i="1"/>
  <c r="AO33" i="1" s="1"/>
  <c r="AP33" i="1" s="1"/>
  <c r="AR33" i="1" s="1"/>
  <c r="AS33" i="1" s="1"/>
  <c r="AT33" i="1" s="1"/>
  <c r="AV33" i="1" s="1"/>
  <c r="AW33" i="1" s="1"/>
  <c r="AX33" i="1" s="1"/>
  <c r="AZ33" i="1" s="1"/>
  <c r="AN38" i="1"/>
  <c r="AO38" i="1" s="1"/>
  <c r="AP38" i="1" s="1"/>
  <c r="AR38" i="1" s="1"/>
  <c r="AS38" i="1" s="1"/>
  <c r="AM45" i="1"/>
  <c r="AK28" i="1"/>
  <c r="AL28" i="1" s="1"/>
  <c r="AN28" i="1" s="1"/>
  <c r="AO28" i="1" s="1"/>
  <c r="AP28" i="1" s="1"/>
  <c r="AR28" i="1" s="1"/>
  <c r="AS28" i="1" s="1"/>
  <c r="AM52" i="1"/>
  <c r="AM43" i="1"/>
  <c r="AM32" i="1"/>
  <c r="AM56" i="1"/>
  <c r="AN27" i="1"/>
  <c r="AO27" i="1" s="1"/>
  <c r="AP27" i="1" s="1"/>
  <c r="AR27" i="1" s="1"/>
  <c r="AS27" i="1" s="1"/>
  <c r="AM35" i="1"/>
  <c r="AX35" i="1"/>
  <c r="AZ35" i="1" s="1"/>
  <c r="AU35" i="1"/>
  <c r="AQ35" i="1"/>
  <c r="AU32" i="1"/>
  <c r="BC32" i="1"/>
  <c r="BG32" i="1" s="1"/>
  <c r="BH32" i="1" s="1"/>
  <c r="AQ32" i="1"/>
  <c r="AU43" i="1"/>
  <c r="BC43" i="1"/>
  <c r="BG43" i="1" s="1"/>
  <c r="BH43" i="1" s="1"/>
  <c r="AM39" i="1"/>
  <c r="AT31" i="1"/>
  <c r="AV31" i="1" s="1"/>
  <c r="AW31" i="1" s="1"/>
  <c r="AR39" i="1"/>
  <c r="AS39" i="1" s="1"/>
  <c r="AQ39" i="1"/>
  <c r="AN48" i="1"/>
  <c r="AO48" i="1" s="1"/>
  <c r="AP48" i="1" s="1"/>
  <c r="AR48" i="1" s="1"/>
  <c r="AS48" i="1" s="1"/>
  <c r="AT48" i="1" s="1"/>
  <c r="AV48" i="1" s="1"/>
  <c r="AW48" i="1" s="1"/>
  <c r="AX48" i="1" s="1"/>
  <c r="AY48" i="1" s="1"/>
  <c r="AQ31" i="1"/>
  <c r="AM53" i="1"/>
  <c r="AN57" i="1"/>
  <c r="AO57" i="1" s="1"/>
  <c r="AP57" i="1" s="1"/>
  <c r="AR57" i="1" s="1"/>
  <c r="AS57" i="1" s="1"/>
  <c r="AT57" i="1" s="1"/>
  <c r="AV57" i="1" s="1"/>
  <c r="AW57" i="1" s="1"/>
  <c r="BC57" i="1" s="1"/>
  <c r="BG57" i="1" s="1"/>
  <c r="BO57" i="1" s="1"/>
  <c r="CB57" i="1" s="1"/>
  <c r="L45" i="11" s="1"/>
  <c r="L85" i="11" s="1"/>
  <c r="AN23" i="1"/>
  <c r="AO23" i="1" s="1"/>
  <c r="AP23" i="1" s="1"/>
  <c r="AR23" i="1" s="1"/>
  <c r="AS23" i="1" s="1"/>
  <c r="AP56" i="1"/>
  <c r="AR56" i="1" s="1"/>
  <c r="AS56" i="1" s="1"/>
  <c r="AM44" i="1"/>
  <c r="AT29" i="1"/>
  <c r="AV29" i="1" s="1"/>
  <c r="AW29" i="1" s="1"/>
  <c r="AU52" i="1"/>
  <c r="BC45" i="1"/>
  <c r="BG45" i="1" s="1"/>
  <c r="BO45" i="1" s="1"/>
  <c r="CB45" i="1" s="1"/>
  <c r="L33" i="11" s="1"/>
  <c r="L83" i="11" s="1"/>
  <c r="BC52" i="1"/>
  <c r="BG52" i="1" s="1"/>
  <c r="BO52" i="1" s="1"/>
  <c r="CB52" i="1" s="1"/>
  <c r="L40" i="11" s="1"/>
  <c r="L55" i="11" s="1"/>
  <c r="AQ29" i="1"/>
  <c r="AU45" i="1"/>
  <c r="AM34" i="1"/>
  <c r="AM20" i="1"/>
  <c r="AQ45" i="1"/>
  <c r="AP53" i="1"/>
  <c r="AR53" i="1" s="1"/>
  <c r="AS53" i="1" s="1"/>
  <c r="AM51" i="1"/>
  <c r="AM41" i="1"/>
  <c r="AM40" i="1"/>
  <c r="AM22" i="1"/>
  <c r="AP40" i="1"/>
  <c r="AR40" i="1" s="1"/>
  <c r="AS40" i="1" s="1"/>
  <c r="AP50" i="1"/>
  <c r="AR50" i="1" s="1"/>
  <c r="AS50" i="1" s="1"/>
  <c r="AM46" i="1"/>
  <c r="AM49" i="1"/>
  <c r="AM47" i="1"/>
  <c r="AM42" i="1"/>
  <c r="AM37" i="1"/>
  <c r="AM21" i="1"/>
  <c r="AM54" i="1"/>
  <c r="AQ43" i="1"/>
  <c r="AQ52" i="1"/>
  <c r="AP49" i="1"/>
  <c r="AR49" i="1" s="1"/>
  <c r="AS49" i="1" s="1"/>
  <c r="AP47" i="1"/>
  <c r="AR47" i="1" s="1"/>
  <c r="AS47" i="1" s="1"/>
  <c r="AP42" i="1"/>
  <c r="AR42" i="1" s="1"/>
  <c r="AS42" i="1" s="1"/>
  <c r="AP37" i="1"/>
  <c r="AR37" i="1" s="1"/>
  <c r="AS37" i="1" s="1"/>
  <c r="AP21" i="1"/>
  <c r="AR21" i="1" s="1"/>
  <c r="AS21" i="1" s="1"/>
  <c r="AP54" i="1"/>
  <c r="AR54" i="1" s="1"/>
  <c r="AS54" i="1" s="1"/>
  <c r="AP34" i="1"/>
  <c r="AR34" i="1" s="1"/>
  <c r="AS34" i="1" s="1"/>
  <c r="AP51" i="1"/>
  <c r="AR51" i="1" s="1"/>
  <c r="AS51" i="1" s="1"/>
  <c r="AP46" i="1"/>
  <c r="AR46" i="1" s="1"/>
  <c r="AS46" i="1" s="1"/>
  <c r="AP22" i="1"/>
  <c r="AR22" i="1" s="1"/>
  <c r="AS22" i="1" s="1"/>
  <c r="AP20" i="1"/>
  <c r="AR20" i="1" s="1"/>
  <c r="AS20" i="1" s="1"/>
  <c r="AP41" i="1"/>
  <c r="AR41" i="1" s="1"/>
  <c r="AS41" i="1" s="1"/>
  <c r="AP44" i="1"/>
  <c r="AR44" i="1" s="1"/>
  <c r="AS44" i="1" s="1"/>
  <c r="BE19" i="1"/>
  <c r="BB19" i="1"/>
  <c r="BF19" i="1" s="1"/>
  <c r="BH35" i="1"/>
  <c r="BO35" i="1"/>
  <c r="CB35" i="1" s="1"/>
  <c r="L23" i="11" s="1"/>
  <c r="L58" i="11" s="1"/>
  <c r="AZ45" i="1"/>
  <c r="BD45" i="1"/>
  <c r="BA45" i="1"/>
  <c r="BD52" i="1"/>
  <c r="AZ52" i="1"/>
  <c r="BA52" i="1"/>
  <c r="AY45" i="1"/>
  <c r="AZ43" i="1"/>
  <c r="BD43" i="1"/>
  <c r="BA43" i="1"/>
  <c r="BD32" i="1"/>
  <c r="AZ32" i="1"/>
  <c r="BA32" i="1"/>
  <c r="BQ19" i="1"/>
  <c r="CC19" i="1" s="1"/>
  <c r="M7" i="11" s="1"/>
  <c r="BJ19" i="1"/>
  <c r="BN19" i="1" s="1"/>
  <c r="AY52" i="1"/>
  <c r="BO32" i="1" l="1"/>
  <c r="CB32" i="1" s="1"/>
  <c r="L20" i="11" s="1"/>
  <c r="L75" i="11" s="1"/>
  <c r="BA33" i="1"/>
  <c r="BB33" i="1" s="1"/>
  <c r="BF33" i="1" s="1"/>
  <c r="BD33" i="1"/>
  <c r="AM28" i="1"/>
  <c r="AU33" i="1"/>
  <c r="BC33" i="1"/>
  <c r="BG33" i="1" s="1"/>
  <c r="BO33" i="1" s="1"/>
  <c r="CB33" i="1" s="1"/>
  <c r="L21" i="11" s="1"/>
  <c r="L81" i="11" s="1"/>
  <c r="AQ33" i="1"/>
  <c r="AY33" i="1"/>
  <c r="AY35" i="1"/>
  <c r="BD35" i="1"/>
  <c r="BA35" i="1"/>
  <c r="BE35" i="1" s="1"/>
  <c r="BO43" i="1"/>
  <c r="CB43" i="1" s="1"/>
  <c r="L31" i="11" s="1"/>
  <c r="L71" i="11" s="1"/>
  <c r="BA48" i="1"/>
  <c r="BB48" i="1" s="1"/>
  <c r="BF48" i="1" s="1"/>
  <c r="AZ48" i="1"/>
  <c r="AQ48" i="1"/>
  <c r="BD48" i="1"/>
  <c r="BC48" i="1"/>
  <c r="BG48" i="1" s="1"/>
  <c r="BO48" i="1" s="1"/>
  <c r="CB48" i="1" s="1"/>
  <c r="L36" i="11" s="1"/>
  <c r="L66" i="11" s="1"/>
  <c r="AQ23" i="1"/>
  <c r="AU48" i="1"/>
  <c r="AT39" i="1"/>
  <c r="AV39" i="1" s="1"/>
  <c r="AW39" i="1" s="1"/>
  <c r="AU31" i="1"/>
  <c r="BC31" i="1"/>
  <c r="BG31" i="1" s="1"/>
  <c r="AX31" i="1"/>
  <c r="AQ56" i="1"/>
  <c r="BH52" i="1"/>
  <c r="BJ52" i="1" s="1"/>
  <c r="BN52" i="1" s="1"/>
  <c r="BH57" i="1"/>
  <c r="BJ57" i="1" s="1"/>
  <c r="BN57" i="1" s="1"/>
  <c r="AQ57" i="1"/>
  <c r="AU57" i="1"/>
  <c r="AT56" i="1"/>
  <c r="AV56" i="1" s="1"/>
  <c r="AW56" i="1" s="1"/>
  <c r="AX57" i="1"/>
  <c r="AT23" i="1"/>
  <c r="AV23" i="1" s="1"/>
  <c r="AW23" i="1" s="1"/>
  <c r="AU29" i="1"/>
  <c r="BH45" i="1"/>
  <c r="BJ45" i="1" s="1"/>
  <c r="BN45" i="1" s="1"/>
  <c r="BC29" i="1"/>
  <c r="BG29" i="1" s="1"/>
  <c r="AX29" i="1"/>
  <c r="AQ40" i="1"/>
  <c r="AQ27" i="1"/>
  <c r="AT40" i="1"/>
  <c r="AV40" i="1" s="1"/>
  <c r="AW40" i="1" s="1"/>
  <c r="AT27" i="1"/>
  <c r="AV27" i="1" s="1"/>
  <c r="AW27" i="1" s="1"/>
  <c r="AQ49" i="1"/>
  <c r="AQ30" i="1"/>
  <c r="AQ50" i="1"/>
  <c r="AT53" i="1"/>
  <c r="AV53" i="1" s="1"/>
  <c r="AW53" i="1" s="1"/>
  <c r="AT50" i="1"/>
  <c r="AV50" i="1" s="1"/>
  <c r="AW50" i="1" s="1"/>
  <c r="AQ53" i="1"/>
  <c r="AQ41" i="1"/>
  <c r="AQ22" i="1"/>
  <c r="AQ24" i="1"/>
  <c r="AQ34" i="1"/>
  <c r="AQ26" i="1"/>
  <c r="AQ54" i="1"/>
  <c r="AQ37" i="1"/>
  <c r="AQ25" i="1"/>
  <c r="AT41" i="1"/>
  <c r="AV41" i="1" s="1"/>
  <c r="AW41" i="1" s="1"/>
  <c r="AT22" i="1"/>
  <c r="AV22" i="1" s="1"/>
  <c r="AW22" i="1" s="1"/>
  <c r="BC22" i="1" s="1"/>
  <c r="AT24" i="1"/>
  <c r="AV24" i="1" s="1"/>
  <c r="AW24" i="1" s="1"/>
  <c r="AT34" i="1"/>
  <c r="AV34" i="1" s="1"/>
  <c r="AW34" i="1" s="1"/>
  <c r="AT26" i="1"/>
  <c r="AV26" i="1" s="1"/>
  <c r="AW26" i="1" s="1"/>
  <c r="AT54" i="1"/>
  <c r="AV54" i="1" s="1"/>
  <c r="AW54" i="1" s="1"/>
  <c r="AT37" i="1"/>
  <c r="AV37" i="1" s="1"/>
  <c r="AW37" i="1" s="1"/>
  <c r="AT25" i="1"/>
  <c r="AV25" i="1" s="1"/>
  <c r="AW25" i="1" s="1"/>
  <c r="AT49" i="1"/>
  <c r="AV49" i="1" s="1"/>
  <c r="AW49" i="1" s="1"/>
  <c r="AQ44" i="1"/>
  <c r="AQ20" i="1"/>
  <c r="AQ46" i="1"/>
  <c r="AQ51" i="1"/>
  <c r="AQ55" i="1"/>
  <c r="AQ36" i="1"/>
  <c r="AQ21" i="1"/>
  <c r="AQ42" i="1"/>
  <c r="AQ47" i="1"/>
  <c r="AQ38" i="1"/>
  <c r="AQ28" i="1"/>
  <c r="AT44" i="1"/>
  <c r="AV44" i="1" s="1"/>
  <c r="AW44" i="1" s="1"/>
  <c r="AT20" i="1"/>
  <c r="AV20" i="1" s="1"/>
  <c r="AW20" i="1" s="1"/>
  <c r="AT46" i="1"/>
  <c r="AV46" i="1" s="1"/>
  <c r="AW46" i="1" s="1"/>
  <c r="AT51" i="1"/>
  <c r="AV51" i="1" s="1"/>
  <c r="AW51" i="1" s="1"/>
  <c r="AT55" i="1"/>
  <c r="AV55" i="1" s="1"/>
  <c r="AW55" i="1" s="1"/>
  <c r="AT36" i="1"/>
  <c r="AV36" i="1" s="1"/>
  <c r="AW36" i="1" s="1"/>
  <c r="AT21" i="1"/>
  <c r="AV21" i="1" s="1"/>
  <c r="AW21" i="1" s="1"/>
  <c r="AT42" i="1"/>
  <c r="AV42" i="1" s="1"/>
  <c r="AW42" i="1" s="1"/>
  <c r="AT47" i="1"/>
  <c r="AV47" i="1" s="1"/>
  <c r="AW47" i="1" s="1"/>
  <c r="AT38" i="1"/>
  <c r="AV38" i="1" s="1"/>
  <c r="AW38" i="1" s="1"/>
  <c r="AT28" i="1"/>
  <c r="AV28" i="1" s="1"/>
  <c r="AW28" i="1" s="1"/>
  <c r="AT30" i="1"/>
  <c r="AV30" i="1" s="1"/>
  <c r="AW30" i="1" s="1"/>
  <c r="BP19" i="1"/>
  <c r="BB52" i="1"/>
  <c r="BF52" i="1" s="1"/>
  <c r="BE52" i="1"/>
  <c r="BQ43" i="1"/>
  <c r="CC43" i="1" s="1"/>
  <c r="M31" i="11" s="1"/>
  <c r="M71" i="11" s="1"/>
  <c r="BE43" i="1"/>
  <c r="BB43" i="1"/>
  <c r="BF43" i="1" s="1"/>
  <c r="BQ35" i="1"/>
  <c r="CC35" i="1" s="1"/>
  <c r="M23" i="11" s="1"/>
  <c r="M58" i="11" s="1"/>
  <c r="BU19" i="1"/>
  <c r="BS19" i="1"/>
  <c r="BM19" i="1"/>
  <c r="CA19" i="1" s="1"/>
  <c r="K7" i="11" s="1"/>
  <c r="BI19" i="1"/>
  <c r="BR19" i="1" s="1"/>
  <c r="BT19" i="1"/>
  <c r="BB32" i="1"/>
  <c r="BF32" i="1" s="1"/>
  <c r="BE32" i="1"/>
  <c r="BQ32" i="1"/>
  <c r="CC32" i="1" s="1"/>
  <c r="M20" i="11" s="1"/>
  <c r="M75" i="11" s="1"/>
  <c r="BE45" i="1"/>
  <c r="BB45" i="1"/>
  <c r="BF45" i="1" s="1"/>
  <c r="BJ43" i="1"/>
  <c r="BN43" i="1" s="1"/>
  <c r="BJ32" i="1"/>
  <c r="BN32" i="1" s="1"/>
  <c r="BJ35" i="1"/>
  <c r="BN35" i="1" s="1"/>
  <c r="BE33" i="1" l="1"/>
  <c r="BH33" i="1"/>
  <c r="BJ33" i="1" s="1"/>
  <c r="BN33" i="1" s="1"/>
  <c r="BB35" i="1"/>
  <c r="BF35" i="1" s="1"/>
  <c r="BM35" i="1" s="1"/>
  <c r="CA35" i="1" s="1"/>
  <c r="K23" i="11" s="1"/>
  <c r="BE48" i="1"/>
  <c r="BQ52" i="1"/>
  <c r="CC52" i="1" s="1"/>
  <c r="M40" i="11" s="1"/>
  <c r="M55" i="11" s="1"/>
  <c r="BP52" i="1"/>
  <c r="BH48" i="1"/>
  <c r="BT48" i="1" s="1"/>
  <c r="BO31" i="1"/>
  <c r="CB31" i="1" s="1"/>
  <c r="L19" i="11" s="1"/>
  <c r="L69" i="11" s="1"/>
  <c r="BH31" i="1"/>
  <c r="BP57" i="1"/>
  <c r="BQ57" i="1"/>
  <c r="CC57" i="1" s="1"/>
  <c r="M45" i="11" s="1"/>
  <c r="M85" i="11" s="1"/>
  <c r="AU39" i="1"/>
  <c r="AY31" i="1"/>
  <c r="AZ31" i="1"/>
  <c r="BA31" i="1"/>
  <c r="BD31" i="1"/>
  <c r="BC39" i="1"/>
  <c r="BG39" i="1" s="1"/>
  <c r="AX39" i="1"/>
  <c r="BP45" i="1"/>
  <c r="BQ45" i="1"/>
  <c r="CC45" i="1" s="1"/>
  <c r="M33" i="11" s="1"/>
  <c r="M83" i="11" s="1"/>
  <c r="BC23" i="1"/>
  <c r="BG23" i="1" s="1"/>
  <c r="AX23" i="1"/>
  <c r="BC56" i="1"/>
  <c r="BG56" i="1" s="1"/>
  <c r="AX56" i="1"/>
  <c r="BA57" i="1"/>
  <c r="BD57" i="1"/>
  <c r="AZ57" i="1"/>
  <c r="AY57" i="1"/>
  <c r="AU23" i="1"/>
  <c r="AU56" i="1"/>
  <c r="AU55" i="1"/>
  <c r="AU54" i="1"/>
  <c r="AU28" i="1"/>
  <c r="AU27" i="1"/>
  <c r="AY29" i="1"/>
  <c r="AZ29" i="1"/>
  <c r="BD29" i="1"/>
  <c r="BA29" i="1"/>
  <c r="BH29" i="1"/>
  <c r="BO29" i="1"/>
  <c r="CB29" i="1" s="1"/>
  <c r="L17" i="11" s="1"/>
  <c r="L57" i="11" s="1"/>
  <c r="AU46" i="1"/>
  <c r="AU25" i="1"/>
  <c r="AU53" i="1"/>
  <c r="AX40" i="1"/>
  <c r="AY40" i="1" s="1"/>
  <c r="BC40" i="1"/>
  <c r="BG40" i="1" s="1"/>
  <c r="AU47" i="1"/>
  <c r="AU44" i="1"/>
  <c r="AU34" i="1"/>
  <c r="BC50" i="1"/>
  <c r="BG50" i="1" s="1"/>
  <c r="AX50" i="1"/>
  <c r="AU40" i="1"/>
  <c r="BC53" i="1"/>
  <c r="BG53" i="1" s="1"/>
  <c r="AX53" i="1"/>
  <c r="AU21" i="1"/>
  <c r="AU22" i="1"/>
  <c r="AU50" i="1"/>
  <c r="AX27" i="1"/>
  <c r="BC27" i="1"/>
  <c r="BG27" i="1" s="1"/>
  <c r="AX30" i="1"/>
  <c r="BC30" i="1"/>
  <c r="BG30" i="1" s="1"/>
  <c r="BC36" i="1"/>
  <c r="BG36" i="1" s="1"/>
  <c r="AX36" i="1"/>
  <c r="BC25" i="1"/>
  <c r="BG25" i="1" s="1"/>
  <c r="AX25" i="1"/>
  <c r="BC54" i="1"/>
  <c r="BG54" i="1" s="1"/>
  <c r="AX54" i="1"/>
  <c r="AY54" i="1" s="1"/>
  <c r="AX34" i="1"/>
  <c r="BC34" i="1"/>
  <c r="BG34" i="1" s="1"/>
  <c r="AX22" i="1"/>
  <c r="BG22" i="1"/>
  <c r="BC38" i="1"/>
  <c r="BG38" i="1" s="1"/>
  <c r="AX38" i="1"/>
  <c r="BC51" i="1"/>
  <c r="BG51" i="1" s="1"/>
  <c r="AX51" i="1"/>
  <c r="AY51" i="1" s="1"/>
  <c r="AX28" i="1"/>
  <c r="BC28" i="1"/>
  <c r="BG28" i="1" s="1"/>
  <c r="AX47" i="1"/>
  <c r="AY47" i="1" s="1"/>
  <c r="BC47" i="1"/>
  <c r="BG47" i="1" s="1"/>
  <c r="BC21" i="1"/>
  <c r="BG21" i="1" s="1"/>
  <c r="AX21" i="1"/>
  <c r="AX55" i="1"/>
  <c r="BC55" i="1"/>
  <c r="BG55" i="1" s="1"/>
  <c r="AX46" i="1"/>
  <c r="BC46" i="1"/>
  <c r="BG46" i="1" s="1"/>
  <c r="AX44" i="1"/>
  <c r="BC44" i="1"/>
  <c r="BG44" i="1" s="1"/>
  <c r="AU49" i="1"/>
  <c r="AU37" i="1"/>
  <c r="AU26" i="1"/>
  <c r="AU24" i="1"/>
  <c r="AU41" i="1"/>
  <c r="BC42" i="1"/>
  <c r="BG42" i="1" s="1"/>
  <c r="AX42" i="1"/>
  <c r="AX20" i="1"/>
  <c r="BC20" i="1"/>
  <c r="BG20" i="1" s="1"/>
  <c r="AU30" i="1"/>
  <c r="AU38" i="1"/>
  <c r="AU42" i="1"/>
  <c r="AU36" i="1"/>
  <c r="AU51" i="1"/>
  <c r="AU20" i="1"/>
  <c r="BC49" i="1"/>
  <c r="BG49" i="1" s="1"/>
  <c r="AX49" i="1"/>
  <c r="AX37" i="1"/>
  <c r="AY37" i="1" s="1"/>
  <c r="BC37" i="1"/>
  <c r="BG37" i="1" s="1"/>
  <c r="AX26" i="1"/>
  <c r="AY26" i="1" s="1"/>
  <c r="BC26" i="1"/>
  <c r="BG26" i="1" s="1"/>
  <c r="BC24" i="1"/>
  <c r="BG24" i="1" s="1"/>
  <c r="AX24" i="1"/>
  <c r="AY24" i="1" s="1"/>
  <c r="AX41" i="1"/>
  <c r="BC41" i="1"/>
  <c r="BG41" i="1" s="1"/>
  <c r="BP43" i="1"/>
  <c r="BI33" i="1"/>
  <c r="BU33" i="1"/>
  <c r="BM33" i="1"/>
  <c r="CA33" i="1" s="1"/>
  <c r="K21" i="11" s="1"/>
  <c r="BU32" i="1"/>
  <c r="BS32" i="1"/>
  <c r="BI32" i="1"/>
  <c r="BR32" i="1" s="1"/>
  <c r="BM32" i="1"/>
  <c r="CA32" i="1" s="1"/>
  <c r="K20" i="11" s="1"/>
  <c r="BT32" i="1"/>
  <c r="BS52" i="1"/>
  <c r="BI52" i="1"/>
  <c r="BL52" i="1" s="1"/>
  <c r="BM52" i="1"/>
  <c r="CA52" i="1" s="1"/>
  <c r="K40" i="11" s="1"/>
  <c r="BU52" i="1"/>
  <c r="BT52" i="1"/>
  <c r="BI45" i="1"/>
  <c r="BL45" i="1" s="1"/>
  <c r="BU45" i="1"/>
  <c r="BM45" i="1"/>
  <c r="CA45" i="1" s="1"/>
  <c r="K33" i="11" s="1"/>
  <c r="BS45" i="1"/>
  <c r="BT45" i="1"/>
  <c r="O7" i="11"/>
  <c r="N7" i="11"/>
  <c r="BP32" i="1"/>
  <c r="BL19" i="1"/>
  <c r="BP35" i="1"/>
  <c r="BS43" i="1"/>
  <c r="BU43" i="1"/>
  <c r="BM43" i="1"/>
  <c r="CA43" i="1" s="1"/>
  <c r="K31" i="11" s="1"/>
  <c r="BI43" i="1"/>
  <c r="BR43" i="1" s="1"/>
  <c r="BT43" i="1"/>
  <c r="BI48" i="1"/>
  <c r="BL48" i="1" s="1"/>
  <c r="BM48" i="1"/>
  <c r="CA48" i="1" s="1"/>
  <c r="K36" i="11" s="1"/>
  <c r="BU35" i="1" l="1"/>
  <c r="BI35" i="1"/>
  <c r="BR35" i="1" s="1"/>
  <c r="BS35" i="1"/>
  <c r="BT35" i="1"/>
  <c r="BR33" i="1"/>
  <c r="BP33" i="1"/>
  <c r="BT33" i="1"/>
  <c r="BS33" i="1"/>
  <c r="BQ33" i="1"/>
  <c r="CC33" i="1" s="1"/>
  <c r="M21" i="11" s="1"/>
  <c r="M81" i="11" s="1"/>
  <c r="BL33" i="1"/>
  <c r="BS48" i="1"/>
  <c r="BU48" i="1"/>
  <c r="BJ48" i="1"/>
  <c r="BN48" i="1" s="1"/>
  <c r="BQ48" i="1"/>
  <c r="CC48" i="1" s="1"/>
  <c r="M36" i="11" s="1"/>
  <c r="M66" i="11" s="1"/>
  <c r="BE31" i="1"/>
  <c r="BB31" i="1"/>
  <c r="BF31" i="1" s="1"/>
  <c r="AY39" i="1"/>
  <c r="BA39" i="1"/>
  <c r="AZ39" i="1"/>
  <c r="BD39" i="1"/>
  <c r="BO39" i="1"/>
  <c r="CB39" i="1" s="1"/>
  <c r="L27" i="11" s="1"/>
  <c r="L82" i="11" s="1"/>
  <c r="BH39" i="1"/>
  <c r="BJ31" i="1"/>
  <c r="BN31" i="1" s="1"/>
  <c r="BQ31" i="1"/>
  <c r="CC31" i="1" s="1"/>
  <c r="M19" i="11" s="1"/>
  <c r="M69" i="11" s="1"/>
  <c r="BD56" i="1"/>
  <c r="BA56" i="1"/>
  <c r="AZ56" i="1"/>
  <c r="BH56" i="1"/>
  <c r="BO56" i="1"/>
  <c r="CB56" i="1" s="1"/>
  <c r="L44" i="11" s="1"/>
  <c r="L79" i="11" s="1"/>
  <c r="BB57" i="1"/>
  <c r="BF57" i="1" s="1"/>
  <c r="BE57" i="1"/>
  <c r="AY23" i="1"/>
  <c r="AZ23" i="1"/>
  <c r="BA23" i="1"/>
  <c r="BD23" i="1"/>
  <c r="AY56" i="1"/>
  <c r="BO23" i="1"/>
  <c r="CB23" i="1" s="1"/>
  <c r="L11" i="11" s="1"/>
  <c r="L74" i="11" s="1"/>
  <c r="BH23" i="1"/>
  <c r="BJ23" i="1" s="1"/>
  <c r="BN23" i="1" s="1"/>
  <c r="BB29" i="1"/>
  <c r="BF29" i="1" s="1"/>
  <c r="BE29" i="1"/>
  <c r="BQ29" i="1"/>
  <c r="CC29" i="1" s="1"/>
  <c r="M17" i="11" s="1"/>
  <c r="M57" i="11" s="1"/>
  <c r="BJ29" i="1"/>
  <c r="BH27" i="1"/>
  <c r="BJ27" i="1" s="1"/>
  <c r="BN27" i="1" s="1"/>
  <c r="BO27" i="1"/>
  <c r="CB27" i="1" s="1"/>
  <c r="L15" i="11" s="1"/>
  <c r="L50" i="11" s="1"/>
  <c r="AY50" i="1"/>
  <c r="AZ50" i="1"/>
  <c r="BD50" i="1"/>
  <c r="BA50" i="1"/>
  <c r="BD27" i="1"/>
  <c r="AZ27" i="1"/>
  <c r="BA27" i="1"/>
  <c r="AY53" i="1"/>
  <c r="AZ53" i="1"/>
  <c r="BA53" i="1"/>
  <c r="BD53" i="1"/>
  <c r="BO50" i="1"/>
  <c r="CB50" i="1" s="1"/>
  <c r="L38" i="11" s="1"/>
  <c r="L78" i="11" s="1"/>
  <c r="BH50" i="1"/>
  <c r="BO53" i="1"/>
  <c r="CB53" i="1" s="1"/>
  <c r="L41" i="11" s="1"/>
  <c r="L61" i="11" s="1"/>
  <c r="BH53" i="1"/>
  <c r="BH40" i="1"/>
  <c r="BJ40" i="1" s="1"/>
  <c r="BN40" i="1" s="1"/>
  <c r="BO40" i="1"/>
  <c r="CB40" i="1" s="1"/>
  <c r="L28" i="11" s="1"/>
  <c r="L53" i="11" s="1"/>
  <c r="AY27" i="1"/>
  <c r="BA40" i="1"/>
  <c r="AZ40" i="1"/>
  <c r="BD40" i="1"/>
  <c r="BH41" i="1"/>
  <c r="BO41" i="1"/>
  <c r="CB41" i="1" s="1"/>
  <c r="L29" i="11" s="1"/>
  <c r="L59" i="11" s="1"/>
  <c r="BH24" i="1"/>
  <c r="BO24" i="1"/>
  <c r="CB24" i="1" s="1"/>
  <c r="L12" i="11" s="1"/>
  <c r="L68" i="11" s="1"/>
  <c r="BH49" i="1"/>
  <c r="BJ49" i="1" s="1"/>
  <c r="BN49" i="1" s="1"/>
  <c r="BO49" i="1"/>
  <c r="CB49" i="1" s="1"/>
  <c r="L37" i="11" s="1"/>
  <c r="L72" i="11" s="1"/>
  <c r="BH20" i="1"/>
  <c r="BJ20" i="1" s="1"/>
  <c r="BN20" i="1" s="1"/>
  <c r="BO20" i="1"/>
  <c r="CB20" i="1" s="1"/>
  <c r="L8" i="11" s="1"/>
  <c r="AY46" i="1"/>
  <c r="AZ46" i="1"/>
  <c r="BD46" i="1"/>
  <c r="BA46" i="1"/>
  <c r="BH21" i="1"/>
  <c r="BO21" i="1"/>
  <c r="CB21" i="1" s="1"/>
  <c r="L9" i="11" s="1"/>
  <c r="BO28" i="1"/>
  <c r="CB28" i="1" s="1"/>
  <c r="L16" i="11" s="1"/>
  <c r="L51" i="11" s="1"/>
  <c r="BH28" i="1"/>
  <c r="BH51" i="1"/>
  <c r="BO51" i="1"/>
  <c r="CB51" i="1" s="1"/>
  <c r="L39" i="11" s="1"/>
  <c r="L84" i="11" s="1"/>
  <c r="AY22" i="1"/>
  <c r="BD22" i="1"/>
  <c r="AZ22" i="1"/>
  <c r="BA22" i="1"/>
  <c r="BB22" i="1" s="1"/>
  <c r="AZ54" i="1"/>
  <c r="BD54" i="1"/>
  <c r="BA54" i="1"/>
  <c r="AY36" i="1"/>
  <c r="AZ36" i="1"/>
  <c r="BD36" i="1"/>
  <c r="BA36" i="1"/>
  <c r="AY41" i="1"/>
  <c r="BD41" i="1"/>
  <c r="AZ41" i="1"/>
  <c r="BA41" i="1"/>
  <c r="BO37" i="1"/>
  <c r="CB37" i="1" s="1"/>
  <c r="L25" i="11" s="1"/>
  <c r="L70" i="11" s="1"/>
  <c r="BH37" i="1"/>
  <c r="BD20" i="1"/>
  <c r="BA20" i="1"/>
  <c r="AZ20" i="1"/>
  <c r="BH44" i="1"/>
  <c r="BO44" i="1"/>
  <c r="CB44" i="1" s="1"/>
  <c r="L32" i="11" s="1"/>
  <c r="L77" i="11" s="1"/>
  <c r="BO55" i="1"/>
  <c r="CB55" i="1" s="1"/>
  <c r="L43" i="11" s="1"/>
  <c r="L73" i="11" s="1"/>
  <c r="BH55" i="1"/>
  <c r="BJ55" i="1" s="1"/>
  <c r="BN55" i="1" s="1"/>
  <c r="AY28" i="1"/>
  <c r="AZ28" i="1"/>
  <c r="BD28" i="1"/>
  <c r="BA28" i="1"/>
  <c r="AY38" i="1"/>
  <c r="AZ38" i="1"/>
  <c r="BD38" i="1"/>
  <c r="BA38" i="1"/>
  <c r="BH34" i="1"/>
  <c r="BO34" i="1"/>
  <c r="CB34" i="1" s="1"/>
  <c r="L22" i="11" s="1"/>
  <c r="L52" i="11" s="1"/>
  <c r="BH54" i="1"/>
  <c r="BO54" i="1"/>
  <c r="CB54" i="1" s="1"/>
  <c r="L42" i="11" s="1"/>
  <c r="L67" i="11" s="1"/>
  <c r="BO36" i="1"/>
  <c r="CB36" i="1" s="1"/>
  <c r="L24" i="11" s="1"/>
  <c r="L64" i="11" s="1"/>
  <c r="BH36" i="1"/>
  <c r="BH26" i="1"/>
  <c r="BO26" i="1"/>
  <c r="CB26" i="1" s="1"/>
  <c r="L14" i="11" s="1"/>
  <c r="L56" i="11" s="1"/>
  <c r="BD37" i="1"/>
  <c r="AZ37" i="1"/>
  <c r="BA37" i="1"/>
  <c r="AY42" i="1"/>
  <c r="AZ42" i="1"/>
  <c r="BA42" i="1"/>
  <c r="BD42" i="1"/>
  <c r="AY44" i="1"/>
  <c r="BD44" i="1"/>
  <c r="AZ44" i="1"/>
  <c r="BA44" i="1"/>
  <c r="AY55" i="1"/>
  <c r="AZ55" i="1"/>
  <c r="BD55" i="1"/>
  <c r="BA55" i="1"/>
  <c r="BO47" i="1"/>
  <c r="CB47" i="1" s="1"/>
  <c r="L35" i="11" s="1"/>
  <c r="L60" i="11" s="1"/>
  <c r="BH47" i="1"/>
  <c r="BO38" i="1"/>
  <c r="CB38" i="1" s="1"/>
  <c r="L26" i="11" s="1"/>
  <c r="L76" i="11" s="1"/>
  <c r="BH38" i="1"/>
  <c r="AY34" i="1"/>
  <c r="BA34" i="1"/>
  <c r="BD34" i="1"/>
  <c r="AZ34" i="1"/>
  <c r="AY25" i="1"/>
  <c r="BD25" i="1"/>
  <c r="BA25" i="1"/>
  <c r="AZ25" i="1"/>
  <c r="BO30" i="1"/>
  <c r="CB30" i="1" s="1"/>
  <c r="L18" i="11" s="1"/>
  <c r="L63" i="11" s="1"/>
  <c r="BH30" i="1"/>
  <c r="BJ30" i="1" s="1"/>
  <c r="BN30" i="1" s="1"/>
  <c r="AZ24" i="1"/>
  <c r="BD24" i="1"/>
  <c r="BA24" i="1"/>
  <c r="BD26" i="1"/>
  <c r="AZ26" i="1"/>
  <c r="BA26" i="1"/>
  <c r="AY49" i="1"/>
  <c r="BD49" i="1"/>
  <c r="AZ49" i="1"/>
  <c r="BA49" i="1"/>
  <c r="AY20" i="1"/>
  <c r="BO42" i="1"/>
  <c r="CB42" i="1" s="1"/>
  <c r="L30" i="11" s="1"/>
  <c r="L65" i="11" s="1"/>
  <c r="BH42" i="1"/>
  <c r="BO46" i="1"/>
  <c r="CB46" i="1" s="1"/>
  <c r="L34" i="11" s="1"/>
  <c r="L54" i="11" s="1"/>
  <c r="BH46" i="1"/>
  <c r="BJ46" i="1" s="1"/>
  <c r="BN46" i="1" s="1"/>
  <c r="AY21" i="1"/>
  <c r="BA21" i="1"/>
  <c r="AZ21" i="1"/>
  <c r="BD21" i="1"/>
  <c r="BA47" i="1"/>
  <c r="AZ47" i="1"/>
  <c r="BD47" i="1"/>
  <c r="AZ51" i="1"/>
  <c r="BD51" i="1"/>
  <c r="BA51" i="1"/>
  <c r="BH22" i="1"/>
  <c r="BO22" i="1"/>
  <c r="CB22" i="1" s="1"/>
  <c r="L10" i="11" s="1"/>
  <c r="L80" i="11" s="1"/>
  <c r="BH25" i="1"/>
  <c r="BO25" i="1"/>
  <c r="CB25" i="1" s="1"/>
  <c r="L13" i="11" s="1"/>
  <c r="L62" i="11" s="1"/>
  <c r="AY30" i="1"/>
  <c r="AZ30" i="1"/>
  <c r="BD30" i="1"/>
  <c r="BA30" i="1"/>
  <c r="BL43" i="1"/>
  <c r="BW43" i="1" s="1"/>
  <c r="CE43" i="1" s="1"/>
  <c r="BL32" i="1"/>
  <c r="BW32" i="1" s="1"/>
  <c r="CE32" i="1" s="1"/>
  <c r="N31" i="11"/>
  <c r="N71" i="11" s="1"/>
  <c r="O31" i="11"/>
  <c r="O71" i="11" s="1"/>
  <c r="K71" i="11"/>
  <c r="N36" i="11"/>
  <c r="N66" i="11" s="1"/>
  <c r="O36" i="11"/>
  <c r="O66" i="11" s="1"/>
  <c r="K66" i="11"/>
  <c r="BR52" i="1"/>
  <c r="BW52" i="1" s="1"/>
  <c r="CE52" i="1" s="1"/>
  <c r="N20" i="11"/>
  <c r="N75" i="11" s="1"/>
  <c r="O20" i="11"/>
  <c r="O75" i="11" s="1"/>
  <c r="K75" i="11"/>
  <c r="BV19" i="1"/>
  <c r="CD19" i="1" s="1"/>
  <c r="BX19" i="1"/>
  <c r="BR45" i="1"/>
  <c r="BX45" i="1" s="1"/>
  <c r="K58" i="11"/>
  <c r="O23" i="11"/>
  <c r="O58" i="11" s="1"/>
  <c r="N23" i="11"/>
  <c r="N58" i="11" s="1"/>
  <c r="O33" i="11"/>
  <c r="O83" i="11" s="1"/>
  <c r="K83" i="11"/>
  <c r="N33" i="11"/>
  <c r="N83" i="11" s="1"/>
  <c r="N40" i="11"/>
  <c r="N55" i="11" s="1"/>
  <c r="K55" i="11"/>
  <c r="O40" i="11"/>
  <c r="O55" i="11" s="1"/>
  <c r="BW19" i="1"/>
  <c r="CE19" i="1" s="1"/>
  <c r="N21" i="11"/>
  <c r="N81" i="11" s="1"/>
  <c r="K81" i="11"/>
  <c r="O21" i="11"/>
  <c r="O81" i="11" s="1"/>
  <c r="BY19" i="1" l="1"/>
  <c r="G7" i="11" s="1"/>
  <c r="BL35" i="1"/>
  <c r="BX35" i="1" s="1"/>
  <c r="BX33" i="1"/>
  <c r="BY33" i="1" s="1"/>
  <c r="G21" i="11" s="1"/>
  <c r="G81" i="11" s="1"/>
  <c r="BY45" i="1"/>
  <c r="G33" i="11" s="1"/>
  <c r="G83" i="11" s="1"/>
  <c r="BV33" i="1"/>
  <c r="CD33" i="1" s="1"/>
  <c r="BW33" i="1"/>
  <c r="CE33" i="1" s="1"/>
  <c r="BR48" i="1"/>
  <c r="BP48" i="1"/>
  <c r="BP31" i="1"/>
  <c r="BQ39" i="1"/>
  <c r="CC39" i="1" s="1"/>
  <c r="M27" i="11" s="1"/>
  <c r="M82" i="11" s="1"/>
  <c r="BE39" i="1"/>
  <c r="BB39" i="1"/>
  <c r="BF39" i="1" s="1"/>
  <c r="BI31" i="1"/>
  <c r="BT31" i="1"/>
  <c r="BS31" i="1"/>
  <c r="BM31" i="1"/>
  <c r="CA31" i="1" s="1"/>
  <c r="K19" i="11" s="1"/>
  <c r="BU31" i="1"/>
  <c r="BJ39" i="1"/>
  <c r="BN39" i="1" s="1"/>
  <c r="BJ56" i="1"/>
  <c r="BN56" i="1" s="1"/>
  <c r="BQ56" i="1"/>
  <c r="CC56" i="1" s="1"/>
  <c r="M44" i="11" s="1"/>
  <c r="M79" i="11" s="1"/>
  <c r="BS57" i="1"/>
  <c r="BT57" i="1"/>
  <c r="BU57" i="1"/>
  <c r="BM57" i="1"/>
  <c r="CA57" i="1" s="1"/>
  <c r="K45" i="11" s="1"/>
  <c r="BI57" i="1"/>
  <c r="BE56" i="1"/>
  <c r="BB56" i="1"/>
  <c r="BF56" i="1" s="1"/>
  <c r="BQ23" i="1"/>
  <c r="CC23" i="1" s="1"/>
  <c r="M11" i="11" s="1"/>
  <c r="M74" i="11" s="1"/>
  <c r="BP23" i="1"/>
  <c r="BB23" i="1"/>
  <c r="BF23" i="1" s="1"/>
  <c r="BE23" i="1"/>
  <c r="BN29" i="1"/>
  <c r="BP29" i="1"/>
  <c r="BI29" i="1"/>
  <c r="BT29" i="1"/>
  <c r="BM29" i="1"/>
  <c r="CA29" i="1" s="1"/>
  <c r="K17" i="11" s="1"/>
  <c r="BS29" i="1"/>
  <c r="BU29" i="1"/>
  <c r="BB40" i="1"/>
  <c r="BF40" i="1" s="1"/>
  <c r="BE40" i="1"/>
  <c r="BQ40" i="1"/>
  <c r="CC40" i="1" s="1"/>
  <c r="M28" i="11" s="1"/>
  <c r="M53" i="11" s="1"/>
  <c r="BP40" i="1"/>
  <c r="BQ50" i="1"/>
  <c r="CC50" i="1" s="1"/>
  <c r="M38" i="11" s="1"/>
  <c r="M78" i="11" s="1"/>
  <c r="BJ53" i="1"/>
  <c r="BN53" i="1" s="1"/>
  <c r="BQ53" i="1"/>
  <c r="CC53" i="1" s="1"/>
  <c r="M41" i="11" s="1"/>
  <c r="M61" i="11" s="1"/>
  <c r="BB50" i="1"/>
  <c r="BF50" i="1" s="1"/>
  <c r="BE50" i="1"/>
  <c r="BB27" i="1"/>
  <c r="BF27" i="1" s="1"/>
  <c r="BE27" i="1"/>
  <c r="BJ50" i="1"/>
  <c r="BN50" i="1" s="1"/>
  <c r="BE53" i="1"/>
  <c r="BB53" i="1"/>
  <c r="BF53" i="1" s="1"/>
  <c r="BQ27" i="1"/>
  <c r="CC27" i="1" s="1"/>
  <c r="M15" i="11" s="1"/>
  <c r="M50" i="11" s="1"/>
  <c r="BP27" i="1"/>
  <c r="BE25" i="1"/>
  <c r="BB25" i="1"/>
  <c r="BF25" i="1" s="1"/>
  <c r="BE42" i="1"/>
  <c r="BB42" i="1"/>
  <c r="BF42" i="1" s="1"/>
  <c r="BJ36" i="1"/>
  <c r="BN36" i="1" s="1"/>
  <c r="BQ36" i="1"/>
  <c r="CC36" i="1" s="1"/>
  <c r="M24" i="11" s="1"/>
  <c r="M64" i="11" s="1"/>
  <c r="BB20" i="1"/>
  <c r="BF20" i="1" s="1"/>
  <c r="BE20" i="1"/>
  <c r="BE41" i="1"/>
  <c r="BB41" i="1"/>
  <c r="BF41" i="1" s="1"/>
  <c r="BB36" i="1"/>
  <c r="BF36" i="1" s="1"/>
  <c r="BE36" i="1"/>
  <c r="BE54" i="1"/>
  <c r="BB54" i="1"/>
  <c r="BF54" i="1" s="1"/>
  <c r="BJ51" i="1"/>
  <c r="BN51" i="1" s="1"/>
  <c r="BQ51" i="1"/>
  <c r="CC51" i="1" s="1"/>
  <c r="M39" i="11" s="1"/>
  <c r="M84" i="11" s="1"/>
  <c r="BJ21" i="1"/>
  <c r="BN21" i="1" s="1"/>
  <c r="BQ21" i="1"/>
  <c r="CC21" i="1" s="1"/>
  <c r="M9" i="11" s="1"/>
  <c r="BB30" i="1"/>
  <c r="BF30" i="1" s="1"/>
  <c r="BE30" i="1"/>
  <c r="BQ22" i="1"/>
  <c r="CC22" i="1" s="1"/>
  <c r="M10" i="11" s="1"/>
  <c r="M80" i="11" s="1"/>
  <c r="BQ46" i="1"/>
  <c r="CC46" i="1" s="1"/>
  <c r="M34" i="11" s="1"/>
  <c r="M54" i="11" s="1"/>
  <c r="BP46" i="1"/>
  <c r="BB24" i="1"/>
  <c r="BF24" i="1" s="1"/>
  <c r="BE24" i="1"/>
  <c r="BQ30" i="1"/>
  <c r="CC30" i="1" s="1"/>
  <c r="M18" i="11" s="1"/>
  <c r="M63" i="11" s="1"/>
  <c r="BP30" i="1"/>
  <c r="BE34" i="1"/>
  <c r="BB34" i="1"/>
  <c r="BF34" i="1" s="1"/>
  <c r="BJ47" i="1"/>
  <c r="BN47" i="1" s="1"/>
  <c r="BQ47" i="1"/>
  <c r="CC47" i="1" s="1"/>
  <c r="M35" i="11" s="1"/>
  <c r="M60" i="11" s="1"/>
  <c r="BJ34" i="1"/>
  <c r="BN34" i="1" s="1"/>
  <c r="BQ34" i="1"/>
  <c r="CC34" i="1" s="1"/>
  <c r="M22" i="11" s="1"/>
  <c r="M52" i="11" s="1"/>
  <c r="BJ28" i="1"/>
  <c r="BN28" i="1" s="1"/>
  <c r="BQ28" i="1"/>
  <c r="CC28" i="1" s="1"/>
  <c r="M16" i="11" s="1"/>
  <c r="M51" i="11" s="1"/>
  <c r="BB46" i="1"/>
  <c r="BF46" i="1" s="1"/>
  <c r="BE46" i="1"/>
  <c r="BQ24" i="1"/>
  <c r="CC24" i="1" s="1"/>
  <c r="M12" i="11" s="1"/>
  <c r="M68" i="11" s="1"/>
  <c r="BJ25" i="1"/>
  <c r="BN25" i="1" s="1"/>
  <c r="BQ25" i="1"/>
  <c r="CC25" i="1" s="1"/>
  <c r="M13" i="11" s="1"/>
  <c r="M62" i="11" s="1"/>
  <c r="BE51" i="1"/>
  <c r="BB51" i="1"/>
  <c r="BF51" i="1" s="1"/>
  <c r="BB21" i="1"/>
  <c r="BF21" i="1" s="1"/>
  <c r="BE21" i="1"/>
  <c r="BB49" i="1"/>
  <c r="BF49" i="1" s="1"/>
  <c r="BE49" i="1"/>
  <c r="BB26" i="1"/>
  <c r="BF26" i="1" s="1"/>
  <c r="BE26" i="1"/>
  <c r="BE38" i="1"/>
  <c r="BB38" i="1"/>
  <c r="BF38" i="1" s="1"/>
  <c r="BB28" i="1"/>
  <c r="BF28" i="1" s="1"/>
  <c r="BE28" i="1"/>
  <c r="BJ44" i="1"/>
  <c r="BN44" i="1" s="1"/>
  <c r="BQ44" i="1"/>
  <c r="CC44" i="1" s="1"/>
  <c r="M32" i="11" s="1"/>
  <c r="M77" i="11" s="1"/>
  <c r="BJ37" i="1"/>
  <c r="BN37" i="1" s="1"/>
  <c r="BQ37" i="1"/>
  <c r="CC37" i="1" s="1"/>
  <c r="M25" i="11" s="1"/>
  <c r="M70" i="11" s="1"/>
  <c r="BQ49" i="1"/>
  <c r="CC49" i="1" s="1"/>
  <c r="M37" i="11" s="1"/>
  <c r="M72" i="11" s="1"/>
  <c r="BP49" i="1"/>
  <c r="BJ22" i="1"/>
  <c r="BN22" i="1" s="1"/>
  <c r="BE47" i="1"/>
  <c r="BB47" i="1"/>
  <c r="BF47" i="1" s="1"/>
  <c r="BJ42" i="1"/>
  <c r="BN42" i="1" s="1"/>
  <c r="BQ42" i="1"/>
  <c r="CC42" i="1" s="1"/>
  <c r="M30" i="11" s="1"/>
  <c r="M65" i="11" s="1"/>
  <c r="BJ38" i="1"/>
  <c r="BN38" i="1" s="1"/>
  <c r="BQ38" i="1"/>
  <c r="CC38" i="1" s="1"/>
  <c r="M26" i="11" s="1"/>
  <c r="M76" i="11" s="1"/>
  <c r="BE55" i="1"/>
  <c r="BB55" i="1"/>
  <c r="BF55" i="1" s="1"/>
  <c r="BE44" i="1"/>
  <c r="BB44" i="1"/>
  <c r="BF44" i="1" s="1"/>
  <c r="BB37" i="1"/>
  <c r="BF37" i="1" s="1"/>
  <c r="BE37" i="1"/>
  <c r="BJ26" i="1"/>
  <c r="BN26" i="1" s="1"/>
  <c r="BQ26" i="1"/>
  <c r="CC26" i="1" s="1"/>
  <c r="M14" i="11" s="1"/>
  <c r="M56" i="11" s="1"/>
  <c r="BJ54" i="1"/>
  <c r="BN54" i="1" s="1"/>
  <c r="BQ54" i="1"/>
  <c r="CC54" i="1" s="1"/>
  <c r="M42" i="11" s="1"/>
  <c r="M67" i="11" s="1"/>
  <c r="BQ55" i="1"/>
  <c r="CC55" i="1" s="1"/>
  <c r="M43" i="11" s="1"/>
  <c r="M73" i="11" s="1"/>
  <c r="BP55" i="1"/>
  <c r="BF22" i="1"/>
  <c r="BM22" i="1" s="1"/>
  <c r="BE22" i="1"/>
  <c r="BQ20" i="1"/>
  <c r="CC20" i="1" s="1"/>
  <c r="M8" i="11" s="1"/>
  <c r="BP20" i="1"/>
  <c r="BJ24" i="1"/>
  <c r="BN24" i="1" s="1"/>
  <c r="BJ41" i="1"/>
  <c r="BN41" i="1" s="1"/>
  <c r="BQ41" i="1"/>
  <c r="CC41" i="1" s="1"/>
  <c r="M29" i="11" s="1"/>
  <c r="M59" i="11" s="1"/>
  <c r="BX43" i="1"/>
  <c r="BV43" i="1"/>
  <c r="CD43" i="1" s="1"/>
  <c r="BV52" i="1"/>
  <c r="CD52" i="1" s="1"/>
  <c r="BX32" i="1"/>
  <c r="BV32" i="1"/>
  <c r="CD32" i="1" s="1"/>
  <c r="BX52" i="1"/>
  <c r="BW45" i="1"/>
  <c r="CE45" i="1" s="1"/>
  <c r="BV45" i="1"/>
  <c r="CD45" i="1" s="1"/>
  <c r="CG19" i="1" l="1"/>
  <c r="CF19" i="1"/>
  <c r="BW35" i="1"/>
  <c r="CE35" i="1" s="1"/>
  <c r="BV35" i="1"/>
  <c r="CD35" i="1" s="1"/>
  <c r="BY32" i="1"/>
  <c r="G20" i="11" s="1"/>
  <c r="G75" i="11" s="1"/>
  <c r="CG33" i="1"/>
  <c r="BY43" i="1"/>
  <c r="G31" i="11" s="1"/>
  <c r="G71" i="11" s="1"/>
  <c r="CF33" i="1"/>
  <c r="CG45" i="1"/>
  <c r="BY35" i="1"/>
  <c r="G23" i="11" s="1"/>
  <c r="G58" i="11" s="1"/>
  <c r="BY52" i="1"/>
  <c r="G40" i="11" s="1"/>
  <c r="G55" i="11" s="1"/>
  <c r="CF45" i="1"/>
  <c r="BV48" i="1"/>
  <c r="CD48" i="1" s="1"/>
  <c r="BX48" i="1"/>
  <c r="BW48" i="1"/>
  <c r="CE48" i="1" s="1"/>
  <c r="O19" i="11"/>
  <c r="O69" i="11" s="1"/>
  <c r="K69" i="11"/>
  <c r="N19" i="11"/>
  <c r="N69" i="11" s="1"/>
  <c r="BI39" i="1"/>
  <c r="BR39" i="1" s="1"/>
  <c r="BM39" i="1"/>
  <c r="CA39" i="1" s="1"/>
  <c r="K27" i="11" s="1"/>
  <c r="BU39" i="1"/>
  <c r="BS39" i="1"/>
  <c r="BT39" i="1"/>
  <c r="BP39" i="1"/>
  <c r="BP56" i="1"/>
  <c r="BL31" i="1"/>
  <c r="BR31" i="1"/>
  <c r="K85" i="11"/>
  <c r="O45" i="11"/>
  <c r="O85" i="11" s="1"/>
  <c r="N45" i="11"/>
  <c r="N85" i="11" s="1"/>
  <c r="BS56" i="1"/>
  <c r="BM56" i="1"/>
  <c r="CA56" i="1" s="1"/>
  <c r="K44" i="11" s="1"/>
  <c r="BU56" i="1"/>
  <c r="BT56" i="1"/>
  <c r="BI56" i="1"/>
  <c r="BL57" i="1"/>
  <c r="BR57" i="1"/>
  <c r="BI23" i="1"/>
  <c r="BR23" i="1" s="1"/>
  <c r="BS23" i="1"/>
  <c r="BM23" i="1"/>
  <c r="CA23" i="1" s="1"/>
  <c r="K11" i="11" s="1"/>
  <c r="BT23" i="1"/>
  <c r="BU23" i="1"/>
  <c r="BP44" i="1"/>
  <c r="BP34" i="1"/>
  <c r="BP26" i="1"/>
  <c r="BR29" i="1"/>
  <c r="BL29" i="1"/>
  <c r="K57" i="11"/>
  <c r="O17" i="11"/>
  <c r="O57" i="11" s="1"/>
  <c r="N17" i="11"/>
  <c r="N57" i="11" s="1"/>
  <c r="BP41" i="1"/>
  <c r="BP42" i="1"/>
  <c r="BP47" i="1"/>
  <c r="BU53" i="1"/>
  <c r="BM53" i="1"/>
  <c r="CA53" i="1" s="1"/>
  <c r="K41" i="11" s="1"/>
  <c r="BS53" i="1"/>
  <c r="BT53" i="1"/>
  <c r="BI53" i="1"/>
  <c r="BL53" i="1" s="1"/>
  <c r="BU27" i="1"/>
  <c r="BI27" i="1"/>
  <c r="BR27" i="1" s="1"/>
  <c r="BM27" i="1"/>
  <c r="CA27" i="1" s="1"/>
  <c r="K15" i="11" s="1"/>
  <c r="BT27" i="1"/>
  <c r="BS27" i="1"/>
  <c r="BM50" i="1"/>
  <c r="CA50" i="1" s="1"/>
  <c r="K38" i="11" s="1"/>
  <c r="BI50" i="1"/>
  <c r="BL50" i="1" s="1"/>
  <c r="BU50" i="1"/>
  <c r="BT50" i="1"/>
  <c r="BS50" i="1"/>
  <c r="BP50" i="1"/>
  <c r="BP37" i="1"/>
  <c r="BP24" i="1"/>
  <c r="BP21" i="1"/>
  <c r="BP36" i="1"/>
  <c r="BP53" i="1"/>
  <c r="BS40" i="1"/>
  <c r="BT40" i="1"/>
  <c r="BU40" i="1"/>
  <c r="BI40" i="1"/>
  <c r="BR40" i="1" s="1"/>
  <c r="BM40" i="1"/>
  <c r="CA40" i="1" s="1"/>
  <c r="K28" i="11" s="1"/>
  <c r="BS28" i="1"/>
  <c r="BM28" i="1"/>
  <c r="CA28" i="1" s="1"/>
  <c r="K16" i="11" s="1"/>
  <c r="BT28" i="1"/>
  <c r="BU28" i="1"/>
  <c r="BI28" i="1"/>
  <c r="BI21" i="1"/>
  <c r="BS21" i="1"/>
  <c r="BU21" i="1"/>
  <c r="BM21" i="1"/>
  <c r="CA21" i="1" s="1"/>
  <c r="K9" i="11" s="1"/>
  <c r="BT21" i="1"/>
  <c r="BS24" i="1"/>
  <c r="BT24" i="1"/>
  <c r="BI24" i="1"/>
  <c r="BM24" i="1"/>
  <c r="CA24" i="1" s="1"/>
  <c r="K12" i="11" s="1"/>
  <c r="BU24" i="1"/>
  <c r="BM36" i="1"/>
  <c r="CA36" i="1" s="1"/>
  <c r="K24" i="11" s="1"/>
  <c r="BT36" i="1"/>
  <c r="BS36" i="1"/>
  <c r="BU36" i="1"/>
  <c r="BI36" i="1"/>
  <c r="BU20" i="1"/>
  <c r="BM20" i="1"/>
  <c r="CA20" i="1" s="1"/>
  <c r="K8" i="11" s="1"/>
  <c r="BS20" i="1"/>
  <c r="BI20" i="1"/>
  <c r="BL20" i="1" s="1"/>
  <c r="BT20" i="1"/>
  <c r="BI42" i="1"/>
  <c r="BL42" i="1" s="1"/>
  <c r="BS42" i="1"/>
  <c r="BT42" i="1"/>
  <c r="BU42" i="1"/>
  <c r="BM42" i="1"/>
  <c r="CA42" i="1" s="1"/>
  <c r="K30" i="11" s="1"/>
  <c r="BM37" i="1"/>
  <c r="CA37" i="1" s="1"/>
  <c r="K25" i="11" s="1"/>
  <c r="BS37" i="1"/>
  <c r="BU37" i="1"/>
  <c r="BI37" i="1"/>
  <c r="BT37" i="1"/>
  <c r="BU38" i="1"/>
  <c r="BT38" i="1"/>
  <c r="BS38" i="1"/>
  <c r="BI38" i="1"/>
  <c r="BM38" i="1"/>
  <c r="CA38" i="1" s="1"/>
  <c r="K26" i="11" s="1"/>
  <c r="BS51" i="1"/>
  <c r="BT51" i="1"/>
  <c r="BU51" i="1"/>
  <c r="BM51" i="1"/>
  <c r="CA51" i="1" s="1"/>
  <c r="K39" i="11" s="1"/>
  <c r="BI51" i="1"/>
  <c r="BS46" i="1"/>
  <c r="BT46" i="1"/>
  <c r="BU46" i="1"/>
  <c r="BM46" i="1"/>
  <c r="CA46" i="1" s="1"/>
  <c r="K34" i="11" s="1"/>
  <c r="BI46" i="1"/>
  <c r="BL46" i="1" s="1"/>
  <c r="BI54" i="1"/>
  <c r="BM54" i="1"/>
  <c r="CA54" i="1" s="1"/>
  <c r="K42" i="11" s="1"/>
  <c r="BS54" i="1"/>
  <c r="BT54" i="1"/>
  <c r="BU54" i="1"/>
  <c r="BI41" i="1"/>
  <c r="BT41" i="1"/>
  <c r="BU41" i="1"/>
  <c r="BS41" i="1"/>
  <c r="BM41" i="1"/>
  <c r="CA41" i="1" s="1"/>
  <c r="K29" i="11" s="1"/>
  <c r="BI55" i="1"/>
  <c r="BR55" i="1" s="1"/>
  <c r="BU55" i="1"/>
  <c r="BS55" i="1"/>
  <c r="BM55" i="1"/>
  <c r="CA55" i="1" s="1"/>
  <c r="K43" i="11" s="1"/>
  <c r="BT55" i="1"/>
  <c r="BU26" i="1"/>
  <c r="BI26" i="1"/>
  <c r="BT26" i="1"/>
  <c r="BS26" i="1"/>
  <c r="BM26" i="1"/>
  <c r="CA26" i="1" s="1"/>
  <c r="K14" i="11" s="1"/>
  <c r="BS44" i="1"/>
  <c r="BI44" i="1"/>
  <c r="BM44" i="1"/>
  <c r="CA44" i="1" s="1"/>
  <c r="K32" i="11" s="1"/>
  <c r="BT44" i="1"/>
  <c r="BU44" i="1"/>
  <c r="BP38" i="1"/>
  <c r="BU49" i="1"/>
  <c r="BI49" i="1"/>
  <c r="BR49" i="1" s="1"/>
  <c r="BM49" i="1"/>
  <c r="CA49" i="1" s="1"/>
  <c r="K37" i="11" s="1"/>
  <c r="BS49" i="1"/>
  <c r="BT49" i="1"/>
  <c r="BI30" i="1"/>
  <c r="BL30" i="1" s="1"/>
  <c r="BU30" i="1"/>
  <c r="BT30" i="1"/>
  <c r="BS30" i="1"/>
  <c r="BM30" i="1"/>
  <c r="CA30" i="1" s="1"/>
  <c r="K18" i="11" s="1"/>
  <c r="BU25" i="1"/>
  <c r="BT25" i="1"/>
  <c r="BS25" i="1"/>
  <c r="BI25" i="1"/>
  <c r="BR25" i="1" s="1"/>
  <c r="BM25" i="1"/>
  <c r="CA25" i="1" s="1"/>
  <c r="K13" i="11" s="1"/>
  <c r="BM47" i="1"/>
  <c r="CA47" i="1" s="1"/>
  <c r="K35" i="11" s="1"/>
  <c r="BI47" i="1"/>
  <c r="BL47" i="1" s="1"/>
  <c r="BS47" i="1"/>
  <c r="BU47" i="1"/>
  <c r="BT47" i="1"/>
  <c r="BI22" i="1"/>
  <c r="BR22" i="1" s="1"/>
  <c r="CA22" i="1"/>
  <c r="K10" i="11" s="1"/>
  <c r="BT22" i="1"/>
  <c r="BU22" i="1"/>
  <c r="BS22" i="1"/>
  <c r="BP54" i="1"/>
  <c r="BP25" i="1"/>
  <c r="BP28" i="1"/>
  <c r="BS34" i="1"/>
  <c r="BT34" i="1"/>
  <c r="BU34" i="1"/>
  <c r="BM34" i="1"/>
  <c r="CA34" i="1" s="1"/>
  <c r="K22" i="11" s="1"/>
  <c r="BI34" i="1"/>
  <c r="BP22" i="1"/>
  <c r="BP51" i="1"/>
  <c r="CG43" i="1" l="1"/>
  <c r="CG52" i="1"/>
  <c r="CF52" i="1"/>
  <c r="CF43" i="1"/>
  <c r="CF35" i="1"/>
  <c r="CG32" i="1"/>
  <c r="CF32" i="1"/>
  <c r="CG35" i="1"/>
  <c r="BY48" i="1"/>
  <c r="G36" i="11" s="1"/>
  <c r="G66" i="11" s="1"/>
  <c r="BL27" i="1"/>
  <c r="BV27" i="1" s="1"/>
  <c r="CD27" i="1" s="1"/>
  <c r="BL49" i="1"/>
  <c r="BW49" i="1" s="1"/>
  <c r="CE49" i="1" s="1"/>
  <c r="BV57" i="1"/>
  <c r="CD57" i="1" s="1"/>
  <c r="BV31" i="1"/>
  <c r="CD31" i="1" s="1"/>
  <c r="BL39" i="1"/>
  <c r="BX39" i="1" s="1"/>
  <c r="BW57" i="1"/>
  <c r="CE57" i="1" s="1"/>
  <c r="BW31" i="1"/>
  <c r="CE31" i="1" s="1"/>
  <c r="BX31" i="1"/>
  <c r="K82" i="11"/>
  <c r="N27" i="11"/>
  <c r="N82" i="11" s="1"/>
  <c r="O27" i="11"/>
  <c r="O82" i="11" s="1"/>
  <c r="O11" i="11"/>
  <c r="O74" i="11" s="1"/>
  <c r="K74" i="11"/>
  <c r="N11" i="11"/>
  <c r="N74" i="11" s="1"/>
  <c r="BL56" i="1"/>
  <c r="BR56" i="1"/>
  <c r="BL23" i="1"/>
  <c r="BX57" i="1"/>
  <c r="K79" i="11"/>
  <c r="N44" i="11"/>
  <c r="N79" i="11" s="1"/>
  <c r="O44" i="11"/>
  <c r="O79" i="11" s="1"/>
  <c r="BL40" i="1"/>
  <c r="BX40" i="1" s="1"/>
  <c r="BW29" i="1"/>
  <c r="CE29" i="1" s="1"/>
  <c r="BX29" i="1"/>
  <c r="BV29" i="1"/>
  <c r="CD29" i="1" s="1"/>
  <c r="BL55" i="1"/>
  <c r="BW55" i="1" s="1"/>
  <c r="CE55" i="1" s="1"/>
  <c r="K53" i="11"/>
  <c r="O28" i="11"/>
  <c r="O53" i="11" s="1"/>
  <c r="N28" i="11"/>
  <c r="N53" i="11" s="1"/>
  <c r="N38" i="11"/>
  <c r="N78" i="11" s="1"/>
  <c r="O38" i="11"/>
  <c r="O78" i="11" s="1"/>
  <c r="K78" i="11"/>
  <c r="O15" i="11"/>
  <c r="O50" i="11" s="1"/>
  <c r="K50" i="11"/>
  <c r="N15" i="11"/>
  <c r="N50" i="11" s="1"/>
  <c r="BR53" i="1"/>
  <c r="BW53" i="1" s="1"/>
  <c r="CE53" i="1" s="1"/>
  <c r="BR50" i="1"/>
  <c r="BV50" i="1" s="1"/>
  <c r="CD50" i="1" s="1"/>
  <c r="O41" i="11"/>
  <c r="O61" i="11" s="1"/>
  <c r="N41" i="11"/>
  <c r="N61" i="11" s="1"/>
  <c r="K61" i="11"/>
  <c r="N22" i="11"/>
  <c r="N52" i="11" s="1"/>
  <c r="K52" i="11"/>
  <c r="O22" i="11"/>
  <c r="O52" i="11" s="1"/>
  <c r="K62" i="11"/>
  <c r="N13" i="11"/>
  <c r="N62" i="11" s="1"/>
  <c r="O13" i="11"/>
  <c r="O62" i="11" s="1"/>
  <c r="O14" i="11"/>
  <c r="O56" i="11" s="1"/>
  <c r="K56" i="11"/>
  <c r="N14" i="11"/>
  <c r="N56" i="11" s="1"/>
  <c r="BL54" i="1"/>
  <c r="BR54" i="1"/>
  <c r="K84" i="11"/>
  <c r="N39" i="11"/>
  <c r="N84" i="11" s="1"/>
  <c r="O39" i="11"/>
  <c r="O84" i="11" s="1"/>
  <c r="K76" i="11"/>
  <c r="O26" i="11"/>
  <c r="O76" i="11" s="1"/>
  <c r="N26" i="11"/>
  <c r="N76" i="11" s="1"/>
  <c r="O8" i="11"/>
  <c r="N8" i="11"/>
  <c r="BR47" i="1"/>
  <c r="BX47" i="1" s="1"/>
  <c r="O32" i="11"/>
  <c r="O77" i="11" s="1"/>
  <c r="N32" i="11"/>
  <c r="N77" i="11" s="1"/>
  <c r="K77" i="11"/>
  <c r="BL38" i="1"/>
  <c r="BR38" i="1"/>
  <c r="K70" i="11"/>
  <c r="O25" i="11"/>
  <c r="O70" i="11" s="1"/>
  <c r="N25" i="11"/>
  <c r="N70" i="11" s="1"/>
  <c r="N12" i="11"/>
  <c r="N68" i="11" s="1"/>
  <c r="O12" i="11"/>
  <c r="O68" i="11" s="1"/>
  <c r="K68" i="11"/>
  <c r="BL21" i="1"/>
  <c r="BR21" i="1"/>
  <c r="O16" i="11"/>
  <c r="O51" i="11" s="1"/>
  <c r="N16" i="11"/>
  <c r="N51" i="11" s="1"/>
  <c r="K51" i="11"/>
  <c r="K80" i="11"/>
  <c r="O10" i="11"/>
  <c r="O80" i="11" s="1"/>
  <c r="N10" i="11"/>
  <c r="N47" i="11" s="1"/>
  <c r="O35" i="11"/>
  <c r="O60" i="11" s="1"/>
  <c r="N35" i="11"/>
  <c r="N60" i="11" s="1"/>
  <c r="K60" i="11"/>
  <c r="O18" i="11"/>
  <c r="O63" i="11" s="1"/>
  <c r="K63" i="11"/>
  <c r="N18" i="11"/>
  <c r="N63" i="11" s="1"/>
  <c r="BR30" i="1"/>
  <c r="BX30" i="1" s="1"/>
  <c r="K72" i="11"/>
  <c r="O37" i="11"/>
  <c r="O72" i="11" s="1"/>
  <c r="N37" i="11"/>
  <c r="N72" i="11" s="1"/>
  <c r="BL44" i="1"/>
  <c r="BR44" i="1"/>
  <c r="BR46" i="1"/>
  <c r="BX46" i="1" s="1"/>
  <c r="BL37" i="1"/>
  <c r="BR37" i="1"/>
  <c r="BR20" i="1"/>
  <c r="BX20" i="1" s="1"/>
  <c r="BL36" i="1"/>
  <c r="BR36" i="1"/>
  <c r="K64" i="11"/>
  <c r="O24" i="11"/>
  <c r="O64" i="11" s="1"/>
  <c r="N24" i="11"/>
  <c r="N64" i="11" s="1"/>
  <c r="BR24" i="1"/>
  <c r="O9" i="11"/>
  <c r="N9" i="11"/>
  <c r="BL28" i="1"/>
  <c r="BR28" i="1"/>
  <c r="BL34" i="1"/>
  <c r="BR34" i="1"/>
  <c r="BL22" i="1"/>
  <c r="BL25" i="1"/>
  <c r="BL26" i="1"/>
  <c r="BR26" i="1"/>
  <c r="K73" i="11"/>
  <c r="O43" i="11"/>
  <c r="O73" i="11" s="1"/>
  <c r="N43" i="11"/>
  <c r="N73" i="11" s="1"/>
  <c r="O29" i="11"/>
  <c r="O59" i="11" s="1"/>
  <c r="K59" i="11"/>
  <c r="N29" i="11"/>
  <c r="N59" i="11" s="1"/>
  <c r="BL41" i="1"/>
  <c r="BR41" i="1"/>
  <c r="K67" i="11"/>
  <c r="O42" i="11"/>
  <c r="O67" i="11" s="1"/>
  <c r="N42" i="11"/>
  <c r="N67" i="11" s="1"/>
  <c r="N34" i="11"/>
  <c r="N54" i="11" s="1"/>
  <c r="O34" i="11"/>
  <c r="O54" i="11" s="1"/>
  <c r="K54" i="11"/>
  <c r="BL51" i="1"/>
  <c r="BR51" i="1"/>
  <c r="O30" i="11"/>
  <c r="O65" i="11" s="1"/>
  <c r="K65" i="11"/>
  <c r="N30" i="11"/>
  <c r="N65" i="11" s="1"/>
  <c r="BR42" i="1"/>
  <c r="BV42" i="1" s="1"/>
  <c r="CD42" i="1" s="1"/>
  <c r="BL24" i="1"/>
  <c r="N80" i="11" l="1"/>
  <c r="N46" i="11"/>
  <c r="CG48" i="1"/>
  <c r="CF48" i="1"/>
  <c r="BY46" i="1"/>
  <c r="G34" i="11" s="1"/>
  <c r="G54" i="11" s="1"/>
  <c r="BY57" i="1"/>
  <c r="G45" i="11" s="1"/>
  <c r="G85" i="11" s="1"/>
  <c r="BY29" i="1"/>
  <c r="G17" i="11" s="1"/>
  <c r="G57" i="11" s="1"/>
  <c r="BY31" i="1"/>
  <c r="G19" i="11" s="1"/>
  <c r="G69" i="11" s="1"/>
  <c r="BY47" i="1"/>
  <c r="G35" i="11" s="1"/>
  <c r="G60" i="11" s="1"/>
  <c r="BY20" i="1"/>
  <c r="G8" i="11" s="1"/>
  <c r="BY30" i="1"/>
  <c r="G18" i="11" s="1"/>
  <c r="G63" i="11" s="1"/>
  <c r="BY40" i="1"/>
  <c r="G28" i="11" s="1"/>
  <c r="G53" i="11" s="1"/>
  <c r="BY39" i="1"/>
  <c r="G27" i="11" s="1"/>
  <c r="G82" i="11" s="1"/>
  <c r="BV49" i="1"/>
  <c r="CD49" i="1" s="1"/>
  <c r="BW27" i="1"/>
  <c r="CE27" i="1" s="1"/>
  <c r="BX27" i="1"/>
  <c r="BX49" i="1"/>
  <c r="BW39" i="1"/>
  <c r="CE39" i="1" s="1"/>
  <c r="BX53" i="1"/>
  <c r="BV39" i="1"/>
  <c r="CD39" i="1" s="1"/>
  <c r="BV55" i="1"/>
  <c r="CD55" i="1" s="1"/>
  <c r="BV40" i="1"/>
  <c r="CD40" i="1" s="1"/>
  <c r="BX44" i="1"/>
  <c r="BX55" i="1"/>
  <c r="BW40" i="1"/>
  <c r="CE40" i="1" s="1"/>
  <c r="BW50" i="1"/>
  <c r="CE50" i="1" s="1"/>
  <c r="BX56" i="1"/>
  <c r="BV56" i="1"/>
  <c r="CD56" i="1" s="1"/>
  <c r="BV47" i="1"/>
  <c r="CD47" i="1" s="1"/>
  <c r="BW23" i="1"/>
  <c r="CE23" i="1" s="1"/>
  <c r="BX23" i="1"/>
  <c r="BV23" i="1"/>
  <c r="CD23" i="1" s="1"/>
  <c r="BV51" i="1"/>
  <c r="CD51" i="1" s="1"/>
  <c r="BX41" i="1"/>
  <c r="BW26" i="1"/>
  <c r="CE26" i="1" s="1"/>
  <c r="BW30" i="1"/>
  <c r="CE30" i="1" s="1"/>
  <c r="BW54" i="1"/>
  <c r="CE54" i="1" s="1"/>
  <c r="BW56" i="1"/>
  <c r="CE56" i="1" s="1"/>
  <c r="BW41" i="1"/>
  <c r="CE41" i="1" s="1"/>
  <c r="BV36" i="1"/>
  <c r="CD36" i="1" s="1"/>
  <c r="BX38" i="1"/>
  <c r="BW47" i="1"/>
  <c r="CE47" i="1" s="1"/>
  <c r="BV53" i="1"/>
  <c r="CD53" i="1" s="1"/>
  <c r="BX37" i="1"/>
  <c r="BW20" i="1"/>
  <c r="CE20" i="1" s="1"/>
  <c r="BW46" i="1"/>
  <c r="CE46" i="1" s="1"/>
  <c r="BW28" i="1"/>
  <c r="CE28" i="1" s="1"/>
  <c r="BX21" i="1"/>
  <c r="BX50" i="1"/>
  <c r="BW42" i="1"/>
  <c r="CE42" i="1" s="1"/>
  <c r="BV22" i="1"/>
  <c r="CD22" i="1" s="1"/>
  <c r="BX22" i="1"/>
  <c r="BX28" i="1"/>
  <c r="BV28" i="1"/>
  <c r="CD28" i="1" s="1"/>
  <c r="BW36" i="1"/>
  <c r="CE36" i="1" s="1"/>
  <c r="BV37" i="1"/>
  <c r="CD37" i="1" s="1"/>
  <c r="BW44" i="1"/>
  <c r="CE44" i="1" s="1"/>
  <c r="BW21" i="1"/>
  <c r="CE21" i="1" s="1"/>
  <c r="BV46" i="1"/>
  <c r="CD46" i="1" s="1"/>
  <c r="BW22" i="1"/>
  <c r="CE22" i="1" s="1"/>
  <c r="BW51" i="1"/>
  <c r="CE51" i="1" s="1"/>
  <c r="BW34" i="1"/>
  <c r="CE34" i="1" s="1"/>
  <c r="BX36" i="1"/>
  <c r="BX42" i="1"/>
  <c r="BV44" i="1"/>
  <c r="CD44" i="1" s="1"/>
  <c r="BV21" i="1"/>
  <c r="CD21" i="1" s="1"/>
  <c r="BW38" i="1"/>
  <c r="CE38" i="1" s="1"/>
  <c r="BV30" i="1"/>
  <c r="CD30" i="1" s="1"/>
  <c r="BV20" i="1"/>
  <c r="CD20" i="1" s="1"/>
  <c r="BV34" i="1"/>
  <c r="CD34" i="1" s="1"/>
  <c r="BX34" i="1"/>
  <c r="BV54" i="1"/>
  <c r="CD54" i="1" s="1"/>
  <c r="BX54" i="1"/>
  <c r="BV24" i="1"/>
  <c r="CD24" i="1" s="1"/>
  <c r="BX24" i="1"/>
  <c r="BX51" i="1"/>
  <c r="BV41" i="1"/>
  <c r="CD41" i="1" s="1"/>
  <c r="BV26" i="1"/>
  <c r="CD26" i="1" s="1"/>
  <c r="BX26" i="1"/>
  <c r="BW25" i="1"/>
  <c r="CE25" i="1" s="1"/>
  <c r="BX25" i="1"/>
  <c r="BV25" i="1"/>
  <c r="CD25" i="1" s="1"/>
  <c r="BW24" i="1"/>
  <c r="CE24" i="1" s="1"/>
  <c r="BW37" i="1"/>
  <c r="CE37" i="1" s="1"/>
  <c r="BV38" i="1"/>
  <c r="CD38" i="1" s="1"/>
  <c r="CG31" i="1" l="1"/>
  <c r="CG29" i="1"/>
  <c r="CF40" i="1"/>
  <c r="CG30" i="1"/>
  <c r="CF57" i="1"/>
  <c r="CG57" i="1"/>
  <c r="CF47" i="1"/>
  <c r="BY50" i="1"/>
  <c r="G38" i="11" s="1"/>
  <c r="G78" i="11" s="1"/>
  <c r="BY38" i="1"/>
  <c r="G26" i="11" s="1"/>
  <c r="G76" i="11" s="1"/>
  <c r="BY49" i="1"/>
  <c r="G37" i="11" s="1"/>
  <c r="G72" i="11" s="1"/>
  <c r="CG40" i="1"/>
  <c r="BY55" i="1"/>
  <c r="G43" i="11" s="1"/>
  <c r="G73" i="11" s="1"/>
  <c r="BY27" i="1"/>
  <c r="G15" i="11" s="1"/>
  <c r="G50" i="11" s="1"/>
  <c r="CG47" i="1"/>
  <c r="BY36" i="1"/>
  <c r="G24" i="11" s="1"/>
  <c r="G64" i="11" s="1"/>
  <c r="BY28" i="1"/>
  <c r="G16" i="11" s="1"/>
  <c r="G51" i="11" s="1"/>
  <c r="BY23" i="1"/>
  <c r="G11" i="11" s="1"/>
  <c r="G74" i="11" s="1"/>
  <c r="BY44" i="1"/>
  <c r="G32" i="11" s="1"/>
  <c r="G77" i="11" s="1"/>
  <c r="CF30" i="1"/>
  <c r="BY41" i="1"/>
  <c r="G29" i="11" s="1"/>
  <c r="G59" i="11" s="1"/>
  <c r="BY26" i="1"/>
  <c r="G14" i="11" s="1"/>
  <c r="G56" i="11" s="1"/>
  <c r="BY24" i="1"/>
  <c r="G12" i="11" s="1"/>
  <c r="G68" i="11" s="1"/>
  <c r="CF39" i="1"/>
  <c r="CF31" i="1"/>
  <c r="CG46" i="1"/>
  <c r="BY42" i="1"/>
  <c r="G30" i="11" s="1"/>
  <c r="G65" i="11" s="1"/>
  <c r="BY34" i="1"/>
  <c r="G22" i="11" s="1"/>
  <c r="G52" i="11" s="1"/>
  <c r="BY21" i="1"/>
  <c r="G9" i="11" s="1"/>
  <c r="BY51" i="1"/>
  <c r="G39" i="11" s="1"/>
  <c r="G84" i="11" s="1"/>
  <c r="BY22" i="1"/>
  <c r="BY37" i="1"/>
  <c r="G25" i="11" s="1"/>
  <c r="G70" i="11" s="1"/>
  <c r="CG39" i="1"/>
  <c r="CF20" i="1"/>
  <c r="CF46" i="1"/>
  <c r="BY25" i="1"/>
  <c r="G13" i="11" s="1"/>
  <c r="G62" i="11" s="1"/>
  <c r="BY54" i="1"/>
  <c r="G42" i="11" s="1"/>
  <c r="G67" i="11" s="1"/>
  <c r="BY56" i="1"/>
  <c r="G44" i="11" s="1"/>
  <c r="G79" i="11" s="1"/>
  <c r="BY53" i="1"/>
  <c r="G41" i="11" s="1"/>
  <c r="G61" i="11" s="1"/>
  <c r="CG20" i="1"/>
  <c r="CF29" i="1"/>
  <c r="G10" i="11" l="1"/>
  <c r="G80" i="11" s="1"/>
  <c r="CH22" i="1"/>
  <c r="CG55" i="1"/>
  <c r="CG42" i="1"/>
  <c r="CF27" i="1"/>
  <c r="CG44" i="1"/>
  <c r="CG54" i="1"/>
  <c r="CF51" i="1"/>
  <c r="CG51" i="1"/>
  <c r="CF24" i="1"/>
  <c r="CG49" i="1"/>
  <c r="CG34" i="1"/>
  <c r="CF53" i="1"/>
  <c r="CG53" i="1"/>
  <c r="CF26" i="1"/>
  <c r="CF36" i="1"/>
  <c r="CG50" i="1"/>
  <c r="CF22" i="1"/>
  <c r="CF34" i="1"/>
  <c r="CG24" i="1"/>
  <c r="CG36" i="1"/>
  <c r="CF50" i="1"/>
  <c r="CG56" i="1"/>
  <c r="CG26" i="1"/>
  <c r="CG28" i="1"/>
  <c r="CG27" i="1"/>
  <c r="CF38" i="1"/>
  <c r="CF56" i="1"/>
  <c r="CG37" i="1"/>
  <c r="CF21" i="1"/>
  <c r="CF28" i="1"/>
  <c r="CG38" i="1"/>
  <c r="CF37" i="1"/>
  <c r="CG21" i="1"/>
  <c r="CG41" i="1"/>
  <c r="CF55" i="1"/>
  <c r="O4" i="11"/>
  <c r="CF54" i="1"/>
  <c r="CF42" i="1"/>
  <c r="CF44" i="1"/>
  <c r="CF25" i="1"/>
  <c r="CG23" i="1"/>
  <c r="I5" i="11"/>
  <c r="S2" i="11" s="1"/>
  <c r="CG25" i="1"/>
  <c r="CG22" i="1"/>
  <c r="CF41" i="1"/>
  <c r="CF23" i="1"/>
  <c r="CF49" i="1"/>
  <c r="O3" i="11" l="1"/>
  <c r="C15" i="11"/>
  <c r="C14" i="11"/>
  <c r="C16" i="11" s="1"/>
  <c r="O5" i="11"/>
  <c r="Q3" i="11" s="1"/>
  <c r="S3" i="11"/>
  <c r="I4" i="11"/>
  <c r="I42" i="11" s="1"/>
  <c r="I67" i="11" s="1"/>
  <c r="I24" i="11" l="1"/>
  <c r="I64" i="11" s="1"/>
  <c r="I38" i="11"/>
  <c r="I78" i="11" s="1"/>
  <c r="I13" i="11"/>
  <c r="I62" i="11" s="1"/>
  <c r="H39" i="11"/>
  <c r="H84" i="11" s="1"/>
  <c r="I45" i="11"/>
  <c r="I85" i="11" s="1"/>
  <c r="I44" i="11"/>
  <c r="I79" i="11" s="1"/>
  <c r="I31" i="11"/>
  <c r="I71" i="11" s="1"/>
  <c r="I43" i="11"/>
  <c r="I73" i="11" s="1"/>
  <c r="H34" i="11"/>
  <c r="H54" i="11" s="1"/>
  <c r="H43" i="11"/>
  <c r="H73" i="11" s="1"/>
  <c r="H24" i="11"/>
  <c r="H64" i="11" s="1"/>
  <c r="I41" i="11"/>
  <c r="I61" i="11" s="1"/>
  <c r="H10" i="11"/>
  <c r="H80" i="11" s="1"/>
  <c r="H25" i="11"/>
  <c r="H70" i="11" s="1"/>
  <c r="H40" i="11"/>
  <c r="H55" i="11" s="1"/>
  <c r="I33" i="11"/>
  <c r="I83" i="11" s="1"/>
  <c r="I36" i="11"/>
  <c r="I66" i="11" s="1"/>
  <c r="I30" i="11"/>
  <c r="I65" i="11" s="1"/>
  <c r="I18" i="11"/>
  <c r="I63" i="11" s="1"/>
  <c r="H14" i="11"/>
  <c r="H56" i="11" s="1"/>
  <c r="H31" i="11"/>
  <c r="H71" i="11" s="1"/>
  <c r="I37" i="11"/>
  <c r="I72" i="11" s="1"/>
  <c r="I11" i="11"/>
  <c r="I74" i="11" s="1"/>
  <c r="H27" i="11"/>
  <c r="H82" i="11" s="1"/>
  <c r="I25" i="11"/>
  <c r="I70" i="11" s="1"/>
  <c r="I10" i="11"/>
  <c r="I80" i="11" s="1"/>
  <c r="I39" i="11"/>
  <c r="I84" i="11" s="1"/>
  <c r="I12" i="11"/>
  <c r="I68" i="11" s="1"/>
  <c r="H28" i="11"/>
  <c r="H53" i="11" s="1"/>
  <c r="H17" i="11"/>
  <c r="H57" i="11" s="1"/>
  <c r="H19" i="11"/>
  <c r="H69" i="11" s="1"/>
  <c r="H26" i="11"/>
  <c r="H76" i="11" s="1"/>
  <c r="H42" i="11"/>
  <c r="H67" i="11" s="1"/>
  <c r="H36" i="11"/>
  <c r="H66" i="11" s="1"/>
  <c r="H35" i="11"/>
  <c r="H60" i="11" s="1"/>
  <c r="H45" i="11"/>
  <c r="H85" i="11" s="1"/>
  <c r="I9" i="11"/>
  <c r="H38" i="11"/>
  <c r="H78" i="11" s="1"/>
  <c r="I35" i="11"/>
  <c r="I60" i="11" s="1"/>
  <c r="I8" i="11"/>
  <c r="I34" i="11"/>
  <c r="I54" i="11" s="1"/>
  <c r="O2" i="11"/>
  <c r="H13" i="11"/>
  <c r="H62" i="11" s="1"/>
  <c r="I28" i="11"/>
  <c r="I53" i="11" s="1"/>
  <c r="H22" i="11"/>
  <c r="H52" i="11" s="1"/>
  <c r="I27" i="11"/>
  <c r="I82" i="11" s="1"/>
  <c r="H41" i="11"/>
  <c r="H61" i="11" s="1"/>
  <c r="I19" i="11"/>
  <c r="I69" i="11" s="1"/>
  <c r="I22" i="11"/>
  <c r="I52" i="11" s="1"/>
  <c r="I21" i="11"/>
  <c r="I81" i="11" s="1"/>
  <c r="I15" i="11"/>
  <c r="I50" i="11" s="1"/>
  <c r="I14" i="11"/>
  <c r="I56" i="11" s="1"/>
  <c r="I32" i="11"/>
  <c r="I77" i="11" s="1"/>
  <c r="H21" i="11"/>
  <c r="H81" i="11" s="1"/>
  <c r="H23" i="11"/>
  <c r="H58" i="11" s="1"/>
  <c r="H16" i="11"/>
  <c r="H51" i="11" s="1"/>
  <c r="H30" i="11"/>
  <c r="H65" i="11" s="1"/>
  <c r="H12" i="11"/>
  <c r="H68" i="11" s="1"/>
  <c r="I29" i="11"/>
  <c r="I59" i="11" s="1"/>
  <c r="H29" i="11"/>
  <c r="H59" i="11" s="1"/>
  <c r="H15" i="11"/>
  <c r="H50" i="11" s="1"/>
  <c r="H11" i="11"/>
  <c r="H74" i="11" s="1"/>
  <c r="I40" i="11"/>
  <c r="I55" i="11" s="1"/>
  <c r="H32" i="11"/>
  <c r="H77" i="11" s="1"/>
  <c r="H9" i="11"/>
  <c r="H20" i="11"/>
  <c r="H75" i="11" s="1"/>
  <c r="H33" i="11"/>
  <c r="H83" i="11" s="1"/>
  <c r="I20" i="11"/>
  <c r="I75" i="11" s="1"/>
  <c r="I17" i="11"/>
  <c r="I57" i="11" s="1"/>
  <c r="I23" i="11"/>
  <c r="I58" i="11" s="1"/>
  <c r="I26" i="11"/>
  <c r="I76" i="11" s="1"/>
  <c r="H44" i="11"/>
  <c r="H79" i="11" s="1"/>
  <c r="H37" i="11"/>
  <c r="H72" i="11" s="1"/>
  <c r="H18" i="11"/>
  <c r="H63" i="11" s="1"/>
  <c r="H8" i="11"/>
  <c r="I16" i="11"/>
  <c r="I51" i="11" s="1"/>
  <c r="C25" i="11"/>
  <c r="P4" i="11" l="1"/>
  <c r="P3" i="11"/>
  <c r="P2" i="11"/>
  <c r="T3" i="11"/>
  <c r="C23" i="11"/>
  <c r="C19" i="11"/>
  <c r="T2" i="11"/>
  <c r="C20" i="11"/>
  <c r="C21" i="11" s="1"/>
  <c r="P5" i="11"/>
  <c r="Q2" i="11" s="1"/>
</calcChain>
</file>

<file path=xl/sharedStrings.xml><?xml version="1.0" encoding="utf-8"?>
<sst xmlns="http://schemas.openxmlformats.org/spreadsheetml/2006/main" count="618" uniqueCount="511">
  <si>
    <t>initial</t>
  </si>
  <si>
    <t>SSH</t>
  </si>
  <si>
    <t>IUPAC-2010</t>
  </si>
  <si>
    <t>IsoDAT3.0</t>
  </si>
  <si>
    <t>Gonfiantini</t>
  </si>
  <si>
    <t>vsmow18</t>
  </si>
  <si>
    <t>vsmow17</t>
  </si>
  <si>
    <t>vpdb13</t>
  </si>
  <si>
    <t>lambda</t>
  </si>
  <si>
    <t>K</t>
  </si>
  <si>
    <t>vsmow16</t>
  </si>
  <si>
    <t>vpdb12</t>
  </si>
  <si>
    <t>scrambled 47</t>
  </si>
  <si>
    <t>calculated values, use initial parameters, column "C":</t>
  </si>
  <si>
    <t>fractional amounts:</t>
  </si>
  <si>
    <t>sum, O</t>
  </si>
  <si>
    <t>begin recalc of 13C and 18O, "solve" parameters</t>
  </si>
  <si>
    <t>cycle2</t>
  </si>
  <si>
    <t>cycle3</t>
  </si>
  <si>
    <t>calculated values:</t>
  </si>
  <si>
    <t>ratio to main isotope</t>
  </si>
  <si>
    <t>calculated CO2 values, from ratios</t>
  </si>
  <si>
    <t>calculated R44 ratios from fractional space:</t>
  </si>
  <si>
    <t>D47</t>
  </si>
  <si>
    <t>"measured" d47 from ref gas</t>
  </si>
  <si>
    <t>13C</t>
  </si>
  <si>
    <t>18O</t>
  </si>
  <si>
    <t>R13</t>
  </si>
  <si>
    <t>R18</t>
  </si>
  <si>
    <t>R17</t>
  </si>
  <si>
    <t>C12</t>
  </si>
  <si>
    <t>C16</t>
  </si>
  <si>
    <t>C13</t>
  </si>
  <si>
    <t>test13C</t>
  </si>
  <si>
    <t>C18</t>
  </si>
  <si>
    <t>test18O</t>
  </si>
  <si>
    <t>C17</t>
  </si>
  <si>
    <t>frac. Amts</t>
  </si>
  <si>
    <t>C44</t>
  </si>
  <si>
    <t>C45</t>
  </si>
  <si>
    <t>C46</t>
  </si>
  <si>
    <t>C47</t>
  </si>
  <si>
    <t>R45</t>
  </si>
  <si>
    <t>R46</t>
  </si>
  <si>
    <t>R47</t>
  </si>
  <si>
    <t>init R17</t>
  </si>
  <si>
    <t>init R16</t>
  </si>
  <si>
    <t>R16</t>
  </si>
  <si>
    <t>d13C sa/ref</t>
  </si>
  <si>
    <t>d18O sa/ref</t>
  </si>
  <si>
    <t>"initial calc R47"</t>
  </si>
  <si>
    <t>reference:</t>
  </si>
  <si>
    <t>re-calc-13C</t>
  </si>
  <si>
    <t>re-calc18O</t>
  </si>
  <si>
    <t>parameters:</t>
  </si>
  <si>
    <t>D45</t>
  </si>
  <si>
    <t>D46</t>
  </si>
  <si>
    <t>re-calc R13C</t>
  </si>
  <si>
    <t>calc R13</t>
  </si>
  <si>
    <t>ratios to reference:</t>
  </si>
  <si>
    <t>RR45</t>
  </si>
  <si>
    <t>RR46</t>
  </si>
  <si>
    <t>RR47</t>
  </si>
  <si>
    <t>working R's, RR*(R determination)</t>
  </si>
  <si>
    <t>model signals:</t>
  </si>
  <si>
    <t>max signal (44):</t>
  </si>
  <si>
    <t>value if combine all signals together</t>
  </si>
  <si>
    <t>rel amp, 45</t>
  </si>
  <si>
    <t>rel amp, 46</t>
  </si>
  <si>
    <t>rel amp, 47</t>
  </si>
  <si>
    <t xml:space="preserve"> backgnd, 45</t>
  </si>
  <si>
    <t xml:space="preserve"> backgnd, 46</t>
  </si>
  <si>
    <t xml:space="preserve"> backgnd, 47</t>
  </si>
  <si>
    <t>model D47, ref</t>
  </si>
  <si>
    <t>model D47, samp</t>
  </si>
  <si>
    <t>use 0 for perfect stochastic distribution, note calculations are normalized to reference, so final reference value will be 0--but other values will shift</t>
  </si>
  <si>
    <t>calc signals</t>
  </si>
  <si>
    <t>m44</t>
  </si>
  <si>
    <t>m45</t>
  </si>
  <si>
    <t>m46</t>
  </si>
  <si>
    <t>m47</t>
  </si>
  <si>
    <t>applied as part per thousand shift on calc signal, before background adjustment</t>
  </si>
  <si>
    <t>backgnd, 44</t>
  </si>
  <si>
    <t>R44 ratios from calculated signals:</t>
  </si>
  <si>
    <t>44 amplification = 1, e.g. 3e8/3e8; for 45 3e10=300e8 so 300/3, etc.</t>
  </si>
  <si>
    <t>theoretical reference R's from ref</t>
  </si>
  <si>
    <t>Normalize values to ref:</t>
  </si>
  <si>
    <t>User Interactive--see Interactive page</t>
  </si>
  <si>
    <t>interactive</t>
  </si>
  <si>
    <t>slope:</t>
  </si>
  <si>
    <t>intercept:</t>
  </si>
  <si>
    <t>ref:</t>
  </si>
  <si>
    <t>interactive:</t>
  </si>
  <si>
    <t>d17O sa/ref--no correction to starting value</t>
  </si>
  <si>
    <t>d relative to standard (first run), adjust to std values for 13C and 18O</t>
  </si>
  <si>
    <t>calc 17O</t>
  </si>
  <si>
    <t>17O</t>
  </si>
  <si>
    <t>calc 17O--not normalized to ref gas</t>
  </si>
  <si>
    <t>calculated:</t>
  </si>
  <si>
    <t>reference gas:</t>
  </si>
  <si>
    <t>solve-D47</t>
  </si>
  <si>
    <t>Solve-D47</t>
  </si>
  <si>
    <t>Initial setup</t>
  </si>
  <si>
    <t>setup</t>
  </si>
  <si>
    <t>Should be "0" since 13C, 18O, D47 calc. w/ same parameters</t>
  </si>
  <si>
    <t>here: use "solve-D47" parameters</t>
  </si>
  <si>
    <t>init/ set values:</t>
  </si>
  <si>
    <t>from Interactive tab</t>
  </si>
  <si>
    <t>below:   use "solve-reported" parameters, in red</t>
  </si>
  <si>
    <t>Generate data for given sets of d13C VPDB and d18O VSMOW and reference values (CO2 gas, D47 calculations)</t>
  </si>
  <si>
    <t>Light blue for calculations</t>
  </si>
  <si>
    <t>Light purple, results from "full model" tab</t>
  </si>
  <si>
    <t>Green for input from "Interactive" tab</t>
  </si>
  <si>
    <t>Yellow for user input (standard input from "interactive" tab)</t>
  </si>
  <si>
    <t>light blue for initial calculations, e.g. parameters</t>
  </si>
  <si>
    <t>purple for D47 results, also shown in "Interactive"</t>
  </si>
  <si>
    <t>Assume stochastic distribution, as above, with:</t>
  </si>
  <si>
    <t xml:space="preserve">Amplitude: </t>
  </si>
  <si>
    <t xml:space="preserve">Relative amplification: </t>
  </si>
  <si>
    <r>
      <t>m/z</t>
    </r>
    <r>
      <rPr>
        <sz val="12"/>
        <color rgb="FF000000"/>
        <rFont val="Calibri"/>
        <family val="2"/>
        <scheme val="minor"/>
      </rPr>
      <t xml:space="preserve"> 44 = 1</t>
    </r>
  </si>
  <si>
    <r>
      <t xml:space="preserve">m/z </t>
    </r>
    <r>
      <rPr>
        <sz val="12"/>
        <color rgb="FF000000"/>
        <rFont val="Calibri"/>
        <family val="2"/>
        <scheme val="minor"/>
      </rPr>
      <t>45 =  100</t>
    </r>
  </si>
  <si>
    <r>
      <t xml:space="preserve">m/z </t>
    </r>
    <r>
      <rPr>
        <sz val="12"/>
        <color rgb="FF000000"/>
        <rFont val="Calibri"/>
        <family val="2"/>
        <scheme val="minor"/>
      </rPr>
      <t>46 =  333</t>
    </r>
  </si>
  <si>
    <r>
      <t xml:space="preserve">m/z </t>
    </r>
    <r>
      <rPr>
        <sz val="12"/>
        <color rgb="FF000000"/>
        <rFont val="Calibri"/>
        <family val="2"/>
        <scheme val="minor"/>
      </rPr>
      <t>47 = 3333</t>
    </r>
  </si>
  <si>
    <t>single peak, modifications</t>
  </si>
  <si>
    <t xml:space="preserve">  without mod</t>
  </si>
  <si>
    <r>
      <t xml:space="preserve">calc </t>
    </r>
    <r>
      <rPr>
        <sz val="11"/>
        <color theme="1"/>
        <rFont val="Calibri"/>
        <family val="2"/>
      </rPr>
      <t>δ</t>
    </r>
    <r>
      <rPr>
        <vertAlign val="superscript"/>
        <sz val="11"/>
        <color theme="1"/>
        <rFont val="Calibri"/>
        <family val="2"/>
        <scheme val="minor"/>
      </rPr>
      <t>13</t>
    </r>
    <r>
      <rPr>
        <sz val="11"/>
        <color theme="1"/>
        <rFont val="Calibri"/>
        <family val="2"/>
        <scheme val="minor"/>
      </rPr>
      <t>C</t>
    </r>
  </si>
  <si>
    <r>
      <t xml:space="preserve">calc </t>
    </r>
    <r>
      <rPr>
        <sz val="11"/>
        <color theme="1"/>
        <rFont val="Calibri"/>
        <family val="2"/>
      </rPr>
      <t>δ</t>
    </r>
    <r>
      <rPr>
        <vertAlign val="superscript"/>
        <sz val="11"/>
        <color theme="1"/>
        <rFont val="Calibri"/>
        <family val="2"/>
        <scheme val="minor"/>
      </rPr>
      <t>18</t>
    </r>
    <r>
      <rPr>
        <sz val="11"/>
        <color theme="1"/>
        <rFont val="Calibri"/>
        <family val="2"/>
        <scheme val="minor"/>
      </rPr>
      <t>O</t>
    </r>
  </si>
  <si>
    <t xml:space="preserve"> for both sample and reference</t>
  </si>
  <si>
    <r>
      <rPr>
        <vertAlign val="superscript"/>
        <sz val="11"/>
        <color theme="1"/>
        <rFont val="Calibri"/>
        <family val="2"/>
        <scheme val="minor"/>
      </rPr>
      <t>17</t>
    </r>
    <r>
      <rPr>
        <sz val="11"/>
        <color theme="1"/>
        <rFont val="Calibri"/>
        <family val="2"/>
        <scheme val="minor"/>
      </rPr>
      <t>O anomaly, sample only, not reference</t>
    </r>
  </si>
  <si>
    <t>sample and reference</t>
  </si>
  <si>
    <r>
      <rPr>
        <vertAlign val="superscript"/>
        <sz val="11"/>
        <color theme="1"/>
        <rFont val="Calibri"/>
        <family val="2"/>
        <scheme val="minor"/>
      </rPr>
      <t>17</t>
    </r>
    <r>
      <rPr>
        <sz val="11"/>
        <color theme="1"/>
        <rFont val="Calibri"/>
        <family val="2"/>
        <scheme val="minor"/>
      </rPr>
      <t>O anomaly, reference only</t>
    </r>
  </si>
  <si>
    <t>reference only</t>
  </si>
  <si>
    <t>Cap D17,sample</t>
  </si>
  <si>
    <t>Cap D17, reference</t>
  </si>
  <si>
    <r>
      <t xml:space="preserve">VPDB, </t>
    </r>
    <r>
      <rPr>
        <b/>
        <vertAlign val="superscript"/>
        <sz val="11"/>
        <color theme="1"/>
        <rFont val="Calibri"/>
        <family val="2"/>
        <scheme val="minor"/>
      </rPr>
      <t>13</t>
    </r>
    <r>
      <rPr>
        <b/>
        <sz val="11"/>
        <color theme="1"/>
        <rFont val="Calibri"/>
        <family val="2"/>
        <scheme val="minor"/>
      </rPr>
      <t>C/</t>
    </r>
    <r>
      <rPr>
        <b/>
        <vertAlign val="superscript"/>
        <sz val="11"/>
        <color theme="1"/>
        <rFont val="Calibri"/>
        <family val="2"/>
        <scheme val="minor"/>
      </rPr>
      <t>12</t>
    </r>
    <r>
      <rPr>
        <b/>
        <sz val="11"/>
        <color theme="1"/>
        <rFont val="Calibri"/>
        <family val="2"/>
        <scheme val="minor"/>
      </rPr>
      <t>C</t>
    </r>
  </si>
  <si>
    <r>
      <t xml:space="preserve">VSMOW, </t>
    </r>
    <r>
      <rPr>
        <b/>
        <vertAlign val="superscript"/>
        <sz val="11"/>
        <color theme="1"/>
        <rFont val="Calibri"/>
        <family val="2"/>
        <scheme val="minor"/>
      </rPr>
      <t>18</t>
    </r>
    <r>
      <rPr>
        <b/>
        <sz val="11"/>
        <color theme="1"/>
        <rFont val="Calibri"/>
        <family val="2"/>
        <scheme val="minor"/>
      </rPr>
      <t>O/</t>
    </r>
    <r>
      <rPr>
        <b/>
        <vertAlign val="superscript"/>
        <sz val="11"/>
        <color theme="1"/>
        <rFont val="Calibri"/>
        <family val="2"/>
        <scheme val="minor"/>
      </rPr>
      <t>16</t>
    </r>
    <r>
      <rPr>
        <b/>
        <sz val="11"/>
        <color theme="1"/>
        <rFont val="Calibri"/>
        <family val="2"/>
        <scheme val="minor"/>
      </rPr>
      <t>O</t>
    </r>
  </si>
  <si>
    <r>
      <t xml:space="preserve">VSMOW, </t>
    </r>
    <r>
      <rPr>
        <b/>
        <vertAlign val="superscript"/>
        <sz val="11"/>
        <color theme="1"/>
        <rFont val="Calibri"/>
        <family val="2"/>
        <scheme val="minor"/>
      </rPr>
      <t>17</t>
    </r>
    <r>
      <rPr>
        <b/>
        <sz val="11"/>
        <color theme="1"/>
        <rFont val="Calibri"/>
        <family val="2"/>
        <scheme val="minor"/>
      </rPr>
      <t>O/</t>
    </r>
    <r>
      <rPr>
        <b/>
        <vertAlign val="superscript"/>
        <sz val="11"/>
        <color theme="1"/>
        <rFont val="Calibri"/>
        <family val="2"/>
        <scheme val="minor"/>
      </rPr>
      <t>16</t>
    </r>
    <r>
      <rPr>
        <b/>
        <sz val="11"/>
        <color theme="1"/>
        <rFont val="Calibri"/>
        <family val="2"/>
        <scheme val="minor"/>
      </rPr>
      <t>O</t>
    </r>
  </si>
  <si>
    <r>
      <t xml:space="preserve">VSMOW, </t>
    </r>
    <r>
      <rPr>
        <b/>
        <vertAlign val="superscript"/>
        <sz val="11"/>
        <color theme="1"/>
        <rFont val="Calibri"/>
        <family val="2"/>
        <scheme val="minor"/>
      </rPr>
      <t>16</t>
    </r>
    <r>
      <rPr>
        <b/>
        <sz val="11"/>
        <color theme="1"/>
        <rFont val="Calibri"/>
        <family val="2"/>
        <scheme val="minor"/>
      </rPr>
      <t>O/</t>
    </r>
    <r>
      <rPr>
        <b/>
        <vertAlign val="superscript"/>
        <sz val="11"/>
        <color theme="1"/>
        <rFont val="Calibri"/>
        <family val="2"/>
        <scheme val="minor"/>
      </rPr>
      <t>total</t>
    </r>
    <r>
      <rPr>
        <b/>
        <sz val="11"/>
        <color theme="1"/>
        <rFont val="Calibri"/>
        <family val="2"/>
        <scheme val="minor"/>
      </rPr>
      <t>O</t>
    </r>
  </si>
  <si>
    <r>
      <t xml:space="preserve">VPDB, </t>
    </r>
    <r>
      <rPr>
        <b/>
        <vertAlign val="superscript"/>
        <sz val="11"/>
        <color theme="1"/>
        <rFont val="Calibri"/>
        <family val="2"/>
        <scheme val="minor"/>
      </rPr>
      <t>12</t>
    </r>
    <r>
      <rPr>
        <b/>
        <sz val="11"/>
        <color theme="1"/>
        <rFont val="Calibri"/>
        <family val="2"/>
        <scheme val="minor"/>
      </rPr>
      <t>C/</t>
    </r>
    <r>
      <rPr>
        <b/>
        <vertAlign val="superscript"/>
        <sz val="11"/>
        <color theme="1"/>
        <rFont val="Calibri"/>
        <family val="2"/>
        <scheme val="minor"/>
      </rPr>
      <t>total</t>
    </r>
    <r>
      <rPr>
        <b/>
        <sz val="11"/>
        <color theme="1"/>
        <rFont val="Calibri"/>
        <family val="2"/>
        <scheme val="minor"/>
      </rPr>
      <t>C</t>
    </r>
  </si>
  <si>
    <t>all:</t>
  </si>
  <si>
    <r>
      <rPr>
        <b/>
        <sz val="11"/>
        <color rgb="FFFF0000"/>
        <rFont val="Calibri"/>
        <family val="2"/>
      </rPr>
      <t>Δ</t>
    </r>
    <r>
      <rPr>
        <b/>
        <vertAlign val="subscript"/>
        <sz val="11"/>
        <color rgb="FFFF0000"/>
        <rFont val="Calibri"/>
        <family val="2"/>
        <scheme val="minor"/>
      </rPr>
      <t>17</t>
    </r>
    <r>
      <rPr>
        <b/>
        <sz val="11"/>
        <color rgb="FFFF0000"/>
        <rFont val="Calibri"/>
        <family val="2"/>
        <scheme val="minor"/>
      </rPr>
      <t xml:space="preserve">, reference, </t>
    </r>
    <r>
      <rPr>
        <b/>
        <vertAlign val="superscript"/>
        <sz val="11"/>
        <color rgb="FFFF0000"/>
        <rFont val="Calibri"/>
        <family val="2"/>
        <scheme val="minor"/>
      </rPr>
      <t>17</t>
    </r>
    <r>
      <rPr>
        <b/>
        <sz val="11"/>
        <color rgb="FFFF0000"/>
        <rFont val="Calibri"/>
        <family val="2"/>
        <scheme val="minor"/>
      </rPr>
      <t>O anomaly</t>
    </r>
  </si>
  <si>
    <r>
      <rPr>
        <b/>
        <sz val="11"/>
        <color rgb="FFFF0000"/>
        <rFont val="Calibri"/>
        <family val="2"/>
      </rPr>
      <t>Δ</t>
    </r>
    <r>
      <rPr>
        <b/>
        <vertAlign val="subscript"/>
        <sz val="11"/>
        <color rgb="FFFF0000"/>
        <rFont val="Calibri"/>
        <family val="2"/>
        <scheme val="minor"/>
      </rPr>
      <t>17</t>
    </r>
    <r>
      <rPr>
        <b/>
        <sz val="11"/>
        <color rgb="FFFF0000"/>
        <rFont val="Calibri"/>
        <family val="2"/>
        <scheme val="minor"/>
      </rPr>
      <t xml:space="preserve">, sample, </t>
    </r>
    <r>
      <rPr>
        <b/>
        <vertAlign val="superscript"/>
        <sz val="11"/>
        <color rgb="FFFF0000"/>
        <rFont val="Calibri"/>
        <family val="2"/>
        <scheme val="minor"/>
      </rPr>
      <t>17</t>
    </r>
    <r>
      <rPr>
        <b/>
        <sz val="11"/>
        <color rgb="FFFF0000"/>
        <rFont val="Calibri"/>
        <family val="2"/>
        <scheme val="minor"/>
      </rPr>
      <t>O anomaly</t>
    </r>
  </si>
  <si>
    <r>
      <t>Generate data for given sets of δ</t>
    </r>
    <r>
      <rPr>
        <b/>
        <vertAlign val="superscript"/>
        <sz val="11"/>
        <color theme="1"/>
        <rFont val="Calibri"/>
        <family val="2"/>
        <scheme val="minor"/>
      </rPr>
      <t>13</t>
    </r>
    <r>
      <rPr>
        <b/>
        <sz val="11"/>
        <color theme="1"/>
        <rFont val="Calibri"/>
        <family val="2"/>
        <scheme val="minor"/>
      </rPr>
      <t>C  VPDB and δ</t>
    </r>
    <r>
      <rPr>
        <b/>
        <vertAlign val="superscript"/>
        <sz val="11"/>
        <color theme="1"/>
        <rFont val="Calibri"/>
        <family val="2"/>
        <scheme val="minor"/>
      </rPr>
      <t>18</t>
    </r>
    <r>
      <rPr>
        <b/>
        <sz val="11"/>
        <color theme="1"/>
        <rFont val="Calibri"/>
        <family val="2"/>
        <scheme val="minor"/>
      </rPr>
      <t>O VSMOW and reference values (CO</t>
    </r>
    <r>
      <rPr>
        <b/>
        <vertAlign val="subscript"/>
        <sz val="11"/>
        <color theme="1"/>
        <rFont val="Calibri"/>
        <family val="2"/>
        <scheme val="minor"/>
      </rPr>
      <t>2</t>
    </r>
    <r>
      <rPr>
        <b/>
        <sz val="11"/>
        <color theme="1"/>
        <rFont val="Calibri"/>
        <family val="2"/>
        <scheme val="minor"/>
      </rPr>
      <t xml:space="preserve"> gas, </t>
    </r>
    <r>
      <rPr>
        <b/>
        <sz val="11"/>
        <color theme="1"/>
        <rFont val="Calibri"/>
        <family val="2"/>
      </rPr>
      <t>Δ</t>
    </r>
    <r>
      <rPr>
        <b/>
        <vertAlign val="subscript"/>
        <sz val="11"/>
        <color theme="1"/>
        <rFont val="Calibri"/>
        <family val="2"/>
        <scheme val="minor"/>
      </rPr>
      <t>47</t>
    </r>
    <r>
      <rPr>
        <b/>
        <sz val="11"/>
        <color theme="1"/>
        <rFont val="Calibri"/>
        <family val="2"/>
        <scheme val="minor"/>
      </rPr>
      <t xml:space="preserve"> calculations)</t>
    </r>
  </si>
  <si>
    <t>single point modifications:</t>
  </si>
  <si>
    <t>relative amplification with 44 amplification = 1, e.g. 3e8/3e8; for 45 3e10=300e8 so 300/3 or 100, etc.</t>
  </si>
  <si>
    <r>
      <t xml:space="preserve">calc </t>
    </r>
    <r>
      <rPr>
        <sz val="11"/>
        <color theme="1"/>
        <rFont val="Calibri"/>
        <family val="2"/>
      </rPr>
      <t>δ</t>
    </r>
    <r>
      <rPr>
        <vertAlign val="superscript"/>
        <sz val="11"/>
        <color theme="1"/>
        <rFont val="Calibri"/>
        <family val="2"/>
        <scheme val="minor"/>
      </rPr>
      <t>17</t>
    </r>
    <r>
      <rPr>
        <sz val="11"/>
        <color theme="1"/>
        <rFont val="Calibri"/>
        <family val="2"/>
        <scheme val="minor"/>
      </rPr>
      <t>O, from δ</t>
    </r>
    <r>
      <rPr>
        <vertAlign val="superscript"/>
        <sz val="11"/>
        <color theme="1"/>
        <rFont val="Calibri"/>
        <family val="2"/>
        <scheme val="minor"/>
      </rPr>
      <t>18</t>
    </r>
    <r>
      <rPr>
        <sz val="11"/>
        <color theme="1"/>
        <rFont val="Calibri"/>
        <family val="2"/>
        <scheme val="minor"/>
      </rPr>
      <t>O</t>
    </r>
  </si>
  <si>
    <t>example parameter sets (cut and paste values only from unshaded column to desired "User Defined" column, initial or solve-D47):</t>
  </si>
  <si>
    <t>Dark blue-data imported from yellow user input cell</t>
  </si>
  <si>
    <r>
      <t xml:space="preserve">model </t>
    </r>
    <r>
      <rPr>
        <b/>
        <sz val="11"/>
        <color theme="1"/>
        <rFont val="Calibri"/>
        <family val="2"/>
      </rPr>
      <t>Δ</t>
    </r>
    <r>
      <rPr>
        <b/>
        <vertAlign val="subscript"/>
        <sz val="11"/>
        <color theme="1"/>
        <rFont val="Calibri"/>
        <family val="2"/>
        <scheme val="minor"/>
      </rPr>
      <t>47</t>
    </r>
    <r>
      <rPr>
        <b/>
        <sz val="11"/>
        <color theme="1"/>
        <rFont val="Calibri"/>
        <family val="2"/>
        <scheme val="minor"/>
      </rPr>
      <t>, reference</t>
    </r>
  </si>
  <si>
    <r>
      <t xml:space="preserve">model </t>
    </r>
    <r>
      <rPr>
        <b/>
        <sz val="11"/>
        <color theme="1"/>
        <rFont val="Calibri"/>
        <family val="2"/>
      </rPr>
      <t>Δ</t>
    </r>
    <r>
      <rPr>
        <b/>
        <vertAlign val="subscript"/>
        <sz val="11"/>
        <color theme="1"/>
        <rFont val="Calibri"/>
        <family val="2"/>
        <scheme val="minor"/>
      </rPr>
      <t>47</t>
    </r>
    <r>
      <rPr>
        <b/>
        <sz val="11"/>
        <color theme="1"/>
        <rFont val="Calibri"/>
        <family val="2"/>
        <scheme val="minor"/>
      </rPr>
      <t>, sample</t>
    </r>
  </si>
  <si>
    <r>
      <rPr>
        <b/>
        <sz val="11"/>
        <color theme="1"/>
        <rFont val="Calibri"/>
        <family val="2"/>
      </rPr>
      <t>Δ</t>
    </r>
    <r>
      <rPr>
        <b/>
        <vertAlign val="subscript"/>
        <sz val="11"/>
        <color theme="1"/>
        <rFont val="Calibri"/>
        <family val="2"/>
        <scheme val="minor"/>
      </rPr>
      <t>47</t>
    </r>
    <r>
      <rPr>
        <b/>
        <sz val="11"/>
        <color theme="1"/>
        <rFont val="Calibri"/>
        <family val="2"/>
        <scheme val="minor"/>
      </rPr>
      <t xml:space="preserve"> vs. ref</t>
    </r>
  </si>
  <si>
    <t>m/z 46:</t>
  </si>
  <si>
    <t>m/z 47:</t>
  </si>
  <si>
    <t>m/z 45:</t>
  </si>
  <si>
    <t>cycle1</t>
  </si>
  <si>
    <t>can use init R18=((1 +init18O)/1000)*VSMOW, with init18O=starting (given) 18O value</t>
  </si>
  <si>
    <t>init evaluation:</t>
  </si>
  <si>
    <t>cycle 3 eval</t>
  </si>
  <si>
    <t>cycle 1 eval</t>
  </si>
  <si>
    <t>cycle 2 eval</t>
  </si>
  <si>
    <t>minimize evaluation parameter: -3*R17^2+2*R45*R17+2*R18-R46; should equal 0</t>
  </si>
  <si>
    <t>uses init R18= R46/2; both starting points give same result within  3 cycles</t>
  </si>
  <si>
    <t>New R18 estimate from previous or init R18 - previous evaluation parameter/2.0022</t>
  </si>
  <si>
    <t>can back out from D47, since excess 47 is loss of 45 and 46</t>
  </si>
  <si>
    <r>
      <rPr>
        <i/>
        <sz val="11"/>
        <color theme="1"/>
        <rFont val="Calibri"/>
        <family val="2"/>
        <scheme val="minor"/>
      </rPr>
      <t>m/z</t>
    </r>
    <r>
      <rPr>
        <sz val="11"/>
        <color theme="1"/>
        <rFont val="Calibri"/>
        <family val="2"/>
        <scheme val="minor"/>
      </rPr>
      <t xml:space="preserve"> 44, max signal, e.g. mV:</t>
    </r>
  </si>
  <si>
    <r>
      <rPr>
        <i/>
        <sz val="11"/>
        <color theme="1"/>
        <rFont val="Calibri"/>
        <family val="2"/>
        <scheme val="minor"/>
      </rPr>
      <t>m/z</t>
    </r>
    <r>
      <rPr>
        <sz val="11"/>
        <color theme="1"/>
        <rFont val="Calibri"/>
        <family val="2"/>
        <scheme val="minor"/>
      </rPr>
      <t xml:space="preserve"> 47, relative amplification to m/z 44 signal</t>
    </r>
  </si>
  <si>
    <r>
      <rPr>
        <i/>
        <sz val="11"/>
        <color theme="1"/>
        <rFont val="Calibri"/>
        <family val="2"/>
        <scheme val="minor"/>
      </rPr>
      <t>m/z</t>
    </r>
    <r>
      <rPr>
        <sz val="11"/>
        <color theme="1"/>
        <rFont val="Calibri"/>
        <family val="2"/>
        <scheme val="minor"/>
      </rPr>
      <t xml:space="preserve"> 45, relative amplification to m/z 44 signal</t>
    </r>
  </si>
  <si>
    <r>
      <rPr>
        <i/>
        <sz val="11"/>
        <color theme="1"/>
        <rFont val="Calibri"/>
        <family val="2"/>
        <scheme val="minor"/>
      </rPr>
      <t>m/z</t>
    </r>
    <r>
      <rPr>
        <sz val="11"/>
        <color theme="1"/>
        <rFont val="Calibri"/>
        <family val="2"/>
        <scheme val="minor"/>
      </rPr>
      <t xml:space="preserve"> 46, relative amplification to m/z 44 signal</t>
    </r>
  </si>
  <si>
    <r>
      <t>background,</t>
    </r>
    <r>
      <rPr>
        <i/>
        <sz val="11"/>
        <color theme="1"/>
        <rFont val="Calibri"/>
        <family val="2"/>
        <scheme val="minor"/>
      </rPr>
      <t xml:space="preserve"> m/z </t>
    </r>
    <r>
      <rPr>
        <sz val="11"/>
        <color theme="1"/>
        <rFont val="Calibri"/>
        <family val="2"/>
        <scheme val="minor"/>
      </rPr>
      <t>45,  e.g. mV</t>
    </r>
  </si>
  <si>
    <r>
      <t xml:space="preserve">background, </t>
    </r>
    <r>
      <rPr>
        <i/>
        <sz val="11"/>
        <color theme="1"/>
        <rFont val="Calibri"/>
        <family val="2"/>
        <scheme val="minor"/>
      </rPr>
      <t>m/z</t>
    </r>
    <r>
      <rPr>
        <sz val="11"/>
        <color theme="1"/>
        <rFont val="Calibri"/>
        <family val="2"/>
        <scheme val="minor"/>
      </rPr>
      <t xml:space="preserve"> 46, e.g. mV</t>
    </r>
  </si>
  <si>
    <r>
      <t xml:space="preserve">background, </t>
    </r>
    <r>
      <rPr>
        <b/>
        <i/>
        <sz val="11"/>
        <color theme="1"/>
        <rFont val="Calibri"/>
        <family val="2"/>
        <scheme val="minor"/>
      </rPr>
      <t xml:space="preserve">m/z </t>
    </r>
    <r>
      <rPr>
        <b/>
        <sz val="11"/>
        <color theme="1"/>
        <rFont val="Calibri"/>
        <family val="2"/>
        <scheme val="minor"/>
      </rPr>
      <t>47,e.g.  mV</t>
    </r>
  </si>
  <si>
    <r>
      <t xml:space="preserve">background, </t>
    </r>
    <r>
      <rPr>
        <i/>
        <sz val="11"/>
        <color theme="1"/>
        <rFont val="Calibri"/>
        <family val="2"/>
        <scheme val="minor"/>
      </rPr>
      <t>m/z</t>
    </r>
    <r>
      <rPr>
        <sz val="11"/>
        <color theme="1"/>
        <rFont val="Calibri"/>
        <family val="2"/>
        <scheme val="minor"/>
      </rPr>
      <t xml:space="preserve"> 44, e.g. mV</t>
    </r>
  </si>
  <si>
    <t>Model input:</t>
  </si>
  <si>
    <t>Works on entire data set or single point.  Can be modified to work on different groups of data</t>
  </si>
  <si>
    <t>Can compare/fit to real results--sum squares of differences and use built-in Solver to minimize</t>
  </si>
  <si>
    <t>"Full Model" tab for calculations</t>
  </si>
  <si>
    <t>see calculated data, e.g. mV readings, there</t>
  </si>
  <si>
    <t>add to data calculated from input prior to output calculation</t>
  </si>
  <si>
    <t>Model output:</t>
  </si>
  <si>
    <r>
      <t xml:space="preserve">Assume stochastic distribution, follow protocol outlined in Santrock, </t>
    </r>
    <r>
      <rPr>
        <b/>
        <i/>
        <sz val="12"/>
        <color rgb="FF000000"/>
        <rFont val="Calibri"/>
        <family val="2"/>
        <scheme val="minor"/>
      </rPr>
      <t>et al.</t>
    </r>
  </si>
  <si>
    <t>Uses:</t>
  </si>
  <si>
    <t>Generate data with one parameter set and use another to calculate results shows what happens if samples have one relationship and we use a different one in our calculations</t>
  </si>
  <si>
    <t>Tease out mixing effects under given set of conditions:</t>
  </si>
  <si>
    <t>2. Pick a point or set of points that correspond to weighted averages of the two end points to represent mixed samples</t>
  </si>
  <si>
    <t>Fit real data:</t>
  </si>
  <si>
    <t>1.  Fit baseline</t>
  </si>
  <si>
    <t>c.  Keep sample and reference baseline values the same.</t>
  </si>
  <si>
    <t>d. Minimize sum of  squares of differences between model output and sample data</t>
  </si>
  <si>
    <t>i. use Solver</t>
  </si>
  <si>
    <t>2. Fit parameter set</t>
  </si>
  <si>
    <t>b.  Model data has sample and standards running at identical m/z 44.</t>
  </si>
  <si>
    <t>c.  Minimize sum of squares of differences between model output and sample data</t>
  </si>
  <si>
    <t>ii. Adjust baseline and parameter(s) of interest to minimize differences between model output and measured results</t>
  </si>
  <si>
    <t>The best fit may not fall at a single point.</t>
  </si>
  <si>
    <t>f. to use modeled baseline for data re-processing, normalize to running m/z 44 amplitudes</t>
  </si>
  <si>
    <t>A:</t>
  </si>
  <si>
    <t>B:</t>
  </si>
  <si>
    <t>C:</t>
  </si>
  <si>
    <t>D:</t>
  </si>
  <si>
    <t>E:</t>
  </si>
  <si>
    <t>F:</t>
  </si>
  <si>
    <t>Other</t>
  </si>
  <si>
    <t>1. Use model output to test data processing algorithm</t>
  </si>
  <si>
    <t>Equations used for calculations from Santrock, Studley and Hayes--see box to right:</t>
  </si>
  <si>
    <t>2. Modify model to account for other potential issues, e.g. linearity (instrument response) effects.</t>
  </si>
  <si>
    <t>3. etc.</t>
  </si>
  <si>
    <t>C12/C12 =R12; C16/C16=R16</t>
  </si>
  <si>
    <r>
      <t>(</t>
    </r>
    <r>
      <rPr>
        <sz val="11"/>
        <color theme="1"/>
        <rFont val="Calibri"/>
        <family val="2"/>
      </rPr>
      <t>δ</t>
    </r>
    <r>
      <rPr>
        <vertAlign val="superscript"/>
        <sz val="11"/>
        <color theme="1"/>
        <rFont val="Calibri"/>
        <family val="2"/>
        <scheme val="minor"/>
      </rPr>
      <t>13</t>
    </r>
    <r>
      <rPr>
        <sz val="11"/>
        <color theme="1"/>
        <rFont val="Calibri"/>
        <family val="2"/>
        <scheme val="minor"/>
      </rPr>
      <t>C - δ</t>
    </r>
    <r>
      <rPr>
        <vertAlign val="superscript"/>
        <sz val="11"/>
        <color theme="1"/>
        <rFont val="Calibri"/>
        <family val="2"/>
        <scheme val="minor"/>
      </rPr>
      <t>18</t>
    </r>
    <r>
      <rPr>
        <sz val="11"/>
        <color theme="1"/>
        <rFont val="Calibri"/>
        <family val="2"/>
        <scheme val="minor"/>
      </rPr>
      <t>O)</t>
    </r>
  </si>
  <si>
    <r>
      <rPr>
        <sz val="11"/>
        <color theme="1"/>
        <rFont val="Calibri"/>
        <family val="2"/>
      </rPr>
      <t>δ</t>
    </r>
    <r>
      <rPr>
        <vertAlign val="superscript"/>
        <sz val="11"/>
        <color theme="1"/>
        <rFont val="Calibri"/>
        <family val="2"/>
        <scheme val="minor"/>
      </rPr>
      <t>47</t>
    </r>
  </si>
  <si>
    <r>
      <rPr>
        <i/>
        <sz val="11"/>
        <color theme="1"/>
        <rFont val="Calibri"/>
        <family val="2"/>
        <scheme val="minor"/>
      </rPr>
      <t>N.B.</t>
    </r>
    <r>
      <rPr>
        <sz val="11"/>
        <color theme="1"/>
        <rFont val="Calibri"/>
        <family val="2"/>
        <scheme val="minor"/>
      </rPr>
      <t xml:space="preserve"> presumes  </t>
    </r>
    <r>
      <rPr>
        <vertAlign val="superscript"/>
        <sz val="11"/>
        <color theme="1"/>
        <rFont val="Calibri"/>
        <family val="2"/>
        <scheme val="minor"/>
      </rPr>
      <t>17</t>
    </r>
    <r>
      <rPr>
        <sz val="11"/>
        <color theme="1"/>
        <rFont val="Calibri"/>
        <family val="2"/>
        <scheme val="minor"/>
      </rPr>
      <t>O/</t>
    </r>
    <r>
      <rPr>
        <vertAlign val="superscript"/>
        <sz val="11"/>
        <color theme="1"/>
        <rFont val="Calibri"/>
        <family val="2"/>
        <scheme val="minor"/>
      </rPr>
      <t>16</t>
    </r>
    <r>
      <rPr>
        <sz val="11"/>
        <color theme="1"/>
        <rFont val="Calibri"/>
        <family val="2"/>
        <scheme val="minor"/>
      </rPr>
      <t>O in VSMOW a function of parameter set used</t>
    </r>
  </si>
  <si>
    <r>
      <t>δ</t>
    </r>
    <r>
      <rPr>
        <vertAlign val="superscript"/>
        <sz val="11"/>
        <color theme="1"/>
        <rFont val="Calibri"/>
        <family val="2"/>
        <scheme val="minor"/>
      </rPr>
      <t>47</t>
    </r>
    <r>
      <rPr>
        <sz val="11"/>
        <color theme="1"/>
        <rFont val="Calibri"/>
        <family val="2"/>
        <scheme val="minor"/>
      </rPr>
      <t xml:space="preserve"> calculated relative to working gas.  Currently no definition of a δ</t>
    </r>
    <r>
      <rPr>
        <vertAlign val="superscript"/>
        <sz val="11"/>
        <color theme="1"/>
        <rFont val="Calibri"/>
        <family val="2"/>
        <scheme val="minor"/>
      </rPr>
      <t>47</t>
    </r>
    <r>
      <rPr>
        <sz val="11"/>
        <color theme="1"/>
        <rFont val="Calibri"/>
        <family val="2"/>
        <scheme val="minor"/>
      </rPr>
      <t xml:space="preserve"> scale, but approximately: .</t>
    </r>
    <r>
      <rPr>
        <sz val="11"/>
        <color theme="1"/>
        <rFont val="Calibri"/>
        <family val="2"/>
      </rPr>
      <t>δ</t>
    </r>
    <r>
      <rPr>
        <vertAlign val="superscript"/>
        <sz val="11"/>
        <color theme="1"/>
        <rFont val="Calibri"/>
        <family val="2"/>
      </rPr>
      <t>47</t>
    </r>
    <r>
      <rPr>
        <sz val="11"/>
        <color theme="1"/>
        <rFont val="Calibri"/>
        <family val="2"/>
      </rPr>
      <t xml:space="preserve"> =  (δ</t>
    </r>
    <r>
      <rPr>
        <vertAlign val="superscript"/>
        <sz val="11"/>
        <color theme="1"/>
        <rFont val="Calibri"/>
        <family val="2"/>
      </rPr>
      <t>13</t>
    </r>
    <r>
      <rPr>
        <sz val="11"/>
        <color theme="1"/>
        <rFont val="Calibri"/>
        <family val="2"/>
      </rPr>
      <t>C</t>
    </r>
    <r>
      <rPr>
        <vertAlign val="subscript"/>
        <sz val="11"/>
        <color theme="1"/>
        <rFont val="Calibri"/>
        <family val="2"/>
      </rPr>
      <t>VPDB</t>
    </r>
    <r>
      <rPr>
        <sz val="11"/>
        <color theme="1"/>
        <rFont val="Calibri"/>
        <family val="2"/>
      </rPr>
      <t xml:space="preserve"> + δ</t>
    </r>
    <r>
      <rPr>
        <vertAlign val="superscript"/>
        <sz val="11"/>
        <color theme="1"/>
        <rFont val="Calibri"/>
        <family val="2"/>
      </rPr>
      <t>18</t>
    </r>
    <r>
      <rPr>
        <sz val="11"/>
        <color theme="1"/>
        <rFont val="Calibri"/>
        <family val="2"/>
      </rPr>
      <t>O</t>
    </r>
    <r>
      <rPr>
        <vertAlign val="subscript"/>
        <sz val="11"/>
        <color theme="1"/>
        <rFont val="Calibri"/>
        <family val="2"/>
      </rPr>
      <t>VSMOW</t>
    </r>
    <r>
      <rPr>
        <sz val="11"/>
        <color theme="1"/>
        <rFont val="Calibri"/>
        <family val="2"/>
      </rPr>
      <t>)</t>
    </r>
    <r>
      <rPr>
        <vertAlign val="subscript"/>
        <sz val="11"/>
        <color theme="1"/>
        <rFont val="Calibri"/>
        <family val="2"/>
      </rPr>
      <t>sample</t>
    </r>
    <r>
      <rPr>
        <sz val="11"/>
        <color theme="1"/>
        <rFont val="Calibri"/>
        <family val="2"/>
      </rPr>
      <t xml:space="preserve"> - (δ</t>
    </r>
    <r>
      <rPr>
        <vertAlign val="superscript"/>
        <sz val="11"/>
        <color theme="1"/>
        <rFont val="Calibri"/>
        <family val="2"/>
      </rPr>
      <t>13</t>
    </r>
    <r>
      <rPr>
        <sz val="11"/>
        <color theme="1"/>
        <rFont val="Calibri"/>
        <family val="2"/>
      </rPr>
      <t>C</t>
    </r>
    <r>
      <rPr>
        <vertAlign val="subscript"/>
        <sz val="11"/>
        <color theme="1"/>
        <rFont val="Calibri"/>
        <family val="2"/>
      </rPr>
      <t>VPDB</t>
    </r>
    <r>
      <rPr>
        <sz val="11"/>
        <color theme="1"/>
        <rFont val="Calibri"/>
        <family val="2"/>
      </rPr>
      <t xml:space="preserve"> + δ</t>
    </r>
    <r>
      <rPr>
        <vertAlign val="superscript"/>
        <sz val="11"/>
        <color theme="1"/>
        <rFont val="Calibri"/>
        <family val="2"/>
      </rPr>
      <t>18</t>
    </r>
    <r>
      <rPr>
        <sz val="11"/>
        <color theme="1"/>
        <rFont val="Calibri"/>
        <family val="2"/>
      </rPr>
      <t>O</t>
    </r>
    <r>
      <rPr>
        <vertAlign val="subscript"/>
        <sz val="11"/>
        <color theme="1"/>
        <rFont val="Calibri"/>
        <family val="2"/>
      </rPr>
      <t>VSMOW</t>
    </r>
    <r>
      <rPr>
        <sz val="11"/>
        <color theme="1"/>
        <rFont val="Calibri"/>
        <family val="2"/>
      </rPr>
      <t>)</t>
    </r>
    <r>
      <rPr>
        <vertAlign val="subscript"/>
        <sz val="11"/>
        <color theme="1"/>
        <rFont val="Calibri"/>
        <family val="2"/>
      </rPr>
      <t>reference gas</t>
    </r>
  </si>
  <si>
    <r>
      <t>m/z</t>
    </r>
    <r>
      <rPr>
        <sz val="12"/>
        <color rgb="FF000000"/>
        <rFont val="Calibri"/>
        <family val="2"/>
        <scheme val="minor"/>
      </rPr>
      <t xml:space="preserve"> 44= 16,000 mV (if 100% m/z 44)</t>
    </r>
  </si>
  <si>
    <r>
      <t xml:space="preserve">SSH w/ current </t>
    </r>
    <r>
      <rPr>
        <b/>
        <vertAlign val="superscript"/>
        <sz val="11"/>
        <color theme="1"/>
        <rFont val="Calibri"/>
        <family val="2"/>
        <scheme val="minor"/>
      </rPr>
      <t>13</t>
    </r>
    <r>
      <rPr>
        <b/>
        <sz val="11"/>
        <color theme="1"/>
        <rFont val="Calibri"/>
        <family val="2"/>
        <scheme val="minor"/>
      </rPr>
      <t>C</t>
    </r>
  </si>
  <si>
    <t>linear fit, matrix only</t>
  </si>
  <si>
    <r>
      <t xml:space="preserve">Orange for </t>
    </r>
    <r>
      <rPr>
        <sz val="11"/>
        <color theme="1"/>
        <rFont val="Calibri"/>
        <family val="2"/>
      </rPr>
      <t>Δ</t>
    </r>
    <r>
      <rPr>
        <vertAlign val="subscript"/>
        <sz val="11"/>
        <color theme="1"/>
        <rFont val="Calibri"/>
        <family val="2"/>
        <scheme val="minor"/>
      </rPr>
      <t>47</t>
    </r>
    <r>
      <rPr>
        <sz val="11"/>
        <color theme="1"/>
        <rFont val="Calibri"/>
        <family val="2"/>
        <scheme val="minor"/>
      </rPr>
      <t xml:space="preserve"> vs </t>
    </r>
    <r>
      <rPr>
        <sz val="11"/>
        <color theme="1"/>
        <rFont val="Calibri"/>
        <family val="2"/>
      </rPr>
      <t>δ</t>
    </r>
    <r>
      <rPr>
        <vertAlign val="superscript"/>
        <sz val="11"/>
        <color theme="1"/>
        <rFont val="Calibri"/>
        <family val="2"/>
        <scheme val="minor"/>
      </rPr>
      <t>47</t>
    </r>
    <r>
      <rPr>
        <sz val="11"/>
        <color theme="1"/>
        <rFont val="Calibri"/>
        <family val="2"/>
        <scheme val="minor"/>
      </rPr>
      <t xml:space="preserve"> linear fit</t>
    </r>
  </si>
  <si>
    <r>
      <t xml:space="preserve">See effect of increasing m/z 47 baseline shifts on calculated </t>
    </r>
    <r>
      <rPr>
        <sz val="11"/>
        <color theme="1"/>
        <rFont val="Calibri"/>
        <family val="2"/>
      </rPr>
      <t>Δ</t>
    </r>
    <r>
      <rPr>
        <vertAlign val="subscript"/>
        <sz val="11"/>
        <color theme="1"/>
        <rFont val="Calibri"/>
        <family val="2"/>
        <scheme val="minor"/>
      </rPr>
      <t>47</t>
    </r>
    <r>
      <rPr>
        <sz val="11"/>
        <color theme="1"/>
        <rFont val="Calibri"/>
        <family val="2"/>
        <scheme val="minor"/>
      </rPr>
      <t xml:space="preserve"> results.</t>
    </r>
  </si>
  <si>
    <r>
      <t xml:space="preserve">See effect of </t>
    </r>
    <r>
      <rPr>
        <sz val="11"/>
        <color theme="1"/>
        <rFont val="Calibri"/>
        <family val="2"/>
      </rPr>
      <t>Δ</t>
    </r>
    <r>
      <rPr>
        <vertAlign val="subscript"/>
        <sz val="11"/>
        <color theme="1"/>
        <rFont val="Calibri"/>
        <family val="2"/>
        <scheme val="minor"/>
      </rPr>
      <t>17</t>
    </r>
    <r>
      <rPr>
        <sz val="11"/>
        <color theme="1"/>
        <rFont val="Calibri"/>
        <family val="2"/>
        <scheme val="minor"/>
      </rPr>
      <t xml:space="preserve"> on Δ</t>
    </r>
    <r>
      <rPr>
        <vertAlign val="subscript"/>
        <sz val="11"/>
        <color theme="1"/>
        <rFont val="Calibri"/>
        <family val="2"/>
        <scheme val="minor"/>
      </rPr>
      <t>47</t>
    </r>
    <r>
      <rPr>
        <sz val="11"/>
        <color theme="1"/>
        <rFont val="Calibri"/>
        <family val="2"/>
        <scheme val="minor"/>
      </rPr>
      <t xml:space="preserve"> results</t>
    </r>
  </si>
  <si>
    <r>
      <t xml:space="preserve">See effect of different parameter sets, absolute value for </t>
    </r>
    <r>
      <rPr>
        <vertAlign val="superscript"/>
        <sz val="11"/>
        <color theme="1"/>
        <rFont val="Calibri"/>
        <family val="2"/>
        <scheme val="minor"/>
      </rPr>
      <t>13</t>
    </r>
    <r>
      <rPr>
        <sz val="11"/>
        <color theme="1"/>
        <rFont val="Calibri"/>
        <family val="2"/>
        <scheme val="minor"/>
      </rPr>
      <t>C/</t>
    </r>
    <r>
      <rPr>
        <vertAlign val="superscript"/>
        <sz val="11"/>
        <color theme="1"/>
        <rFont val="Calibri"/>
        <family val="2"/>
        <scheme val="minor"/>
      </rPr>
      <t>12</t>
    </r>
    <r>
      <rPr>
        <sz val="11"/>
        <color theme="1"/>
        <rFont val="Calibri"/>
        <family val="2"/>
        <scheme val="minor"/>
      </rPr>
      <t xml:space="preserve">C ratios and relationship between </t>
    </r>
    <r>
      <rPr>
        <vertAlign val="superscript"/>
        <sz val="11"/>
        <color theme="1"/>
        <rFont val="Calibri"/>
        <family val="2"/>
        <scheme val="minor"/>
      </rPr>
      <t>17</t>
    </r>
    <r>
      <rPr>
        <sz val="11"/>
        <color theme="1"/>
        <rFont val="Calibri"/>
        <family val="2"/>
        <scheme val="minor"/>
      </rPr>
      <t xml:space="preserve">O and </t>
    </r>
    <r>
      <rPr>
        <vertAlign val="superscript"/>
        <sz val="11"/>
        <color theme="1"/>
        <rFont val="Calibri"/>
        <family val="2"/>
        <scheme val="minor"/>
      </rPr>
      <t>18</t>
    </r>
    <r>
      <rPr>
        <sz val="11"/>
        <color theme="1"/>
        <rFont val="Calibri"/>
        <family val="2"/>
        <scheme val="minor"/>
      </rPr>
      <t>O, on Δ</t>
    </r>
    <r>
      <rPr>
        <vertAlign val="subscript"/>
        <sz val="11"/>
        <color theme="1"/>
        <rFont val="Calibri"/>
        <family val="2"/>
        <scheme val="minor"/>
      </rPr>
      <t>47</t>
    </r>
    <r>
      <rPr>
        <sz val="11"/>
        <color theme="1"/>
        <rFont val="Calibri"/>
        <family val="2"/>
        <scheme val="minor"/>
      </rPr>
      <t xml:space="preserve"> results</t>
    </r>
  </si>
  <si>
    <r>
      <t xml:space="preserve">1. Set two end points in </t>
    </r>
    <r>
      <rPr>
        <vertAlign val="superscript"/>
        <sz val="11"/>
        <color theme="1"/>
        <rFont val="Calibri"/>
        <family val="2"/>
        <scheme val="minor"/>
      </rPr>
      <t>13</t>
    </r>
    <r>
      <rPr>
        <sz val="11"/>
        <color theme="1"/>
        <rFont val="Calibri"/>
        <family val="2"/>
        <scheme val="minor"/>
      </rPr>
      <t xml:space="preserve">C and </t>
    </r>
    <r>
      <rPr>
        <vertAlign val="superscript"/>
        <sz val="11"/>
        <color theme="1"/>
        <rFont val="Calibri"/>
        <family val="2"/>
        <scheme val="minor"/>
      </rPr>
      <t>18</t>
    </r>
    <r>
      <rPr>
        <sz val="11"/>
        <color theme="1"/>
        <rFont val="Calibri"/>
        <family val="2"/>
        <scheme val="minor"/>
      </rPr>
      <t>O space</t>
    </r>
  </si>
  <si>
    <r>
      <t>4. Compare calculated results to the weighted averages.  Differences are approximately Δ</t>
    </r>
    <r>
      <rPr>
        <vertAlign val="subscript"/>
        <sz val="11"/>
        <color theme="1"/>
        <rFont val="Calibri"/>
        <family val="2"/>
        <scheme val="minor"/>
      </rPr>
      <t xml:space="preserve">17 </t>
    </r>
    <r>
      <rPr>
        <sz val="11"/>
        <color theme="1"/>
        <rFont val="Calibri"/>
        <family val="2"/>
        <scheme val="minor"/>
      </rPr>
      <t>and Δ</t>
    </r>
    <r>
      <rPr>
        <vertAlign val="subscript"/>
        <sz val="11"/>
        <color theme="1"/>
        <rFont val="Calibri"/>
        <family val="2"/>
        <scheme val="minor"/>
      </rPr>
      <t>47</t>
    </r>
    <r>
      <rPr>
        <sz val="11"/>
        <color theme="1"/>
        <rFont val="Calibri"/>
        <family val="2"/>
        <scheme val="minor"/>
      </rPr>
      <t xml:space="preserve"> shifts.</t>
    </r>
  </si>
  <si>
    <r>
      <t xml:space="preserve">3. Do the corresponding weighted averages for </t>
    </r>
    <r>
      <rPr>
        <sz val="11"/>
        <color theme="1"/>
        <rFont val="Calibri"/>
        <family val="2"/>
      </rPr>
      <t>δ</t>
    </r>
    <r>
      <rPr>
        <vertAlign val="superscript"/>
        <sz val="11"/>
        <color theme="1"/>
        <rFont val="Calibri"/>
        <family val="2"/>
        <scheme val="minor"/>
      </rPr>
      <t>17</t>
    </r>
    <r>
      <rPr>
        <sz val="11"/>
        <color theme="1"/>
        <rFont val="Calibri"/>
        <family val="2"/>
        <scheme val="minor"/>
      </rPr>
      <t xml:space="preserve">O and </t>
    </r>
    <r>
      <rPr>
        <sz val="11"/>
        <color theme="1"/>
        <rFont val="Calibri"/>
        <family val="2"/>
      </rPr>
      <t>δ</t>
    </r>
    <r>
      <rPr>
        <vertAlign val="superscript"/>
        <sz val="11"/>
        <color theme="1"/>
        <rFont val="Calibri"/>
        <family val="2"/>
        <scheme val="minor"/>
      </rPr>
      <t>47</t>
    </r>
    <r>
      <rPr>
        <sz val="11"/>
        <color theme="1"/>
        <rFont val="Calibri"/>
        <family val="2"/>
        <scheme val="minor"/>
      </rPr>
      <t>(wg)</t>
    </r>
  </si>
  <si>
    <r>
      <t>a.  Assumes all runs have the same baseline effect and all data points at same Δ</t>
    </r>
    <r>
      <rPr>
        <vertAlign val="subscript"/>
        <sz val="11"/>
        <color theme="1"/>
        <rFont val="Calibri"/>
        <family val="2"/>
        <scheme val="minor"/>
      </rPr>
      <t>47</t>
    </r>
    <r>
      <rPr>
        <sz val="11"/>
        <color theme="1"/>
        <rFont val="Calibri"/>
        <family val="2"/>
        <scheme val="minor"/>
      </rPr>
      <t xml:space="preserve"> and Δ</t>
    </r>
    <r>
      <rPr>
        <vertAlign val="superscript"/>
        <sz val="11"/>
        <color theme="1"/>
        <rFont val="Calibri"/>
        <family val="2"/>
        <scheme val="minor"/>
      </rPr>
      <t>17</t>
    </r>
    <r>
      <rPr>
        <sz val="11"/>
        <color theme="1"/>
        <rFont val="Calibri"/>
        <family val="2"/>
        <scheme val="minor"/>
      </rPr>
      <t>O</t>
    </r>
  </si>
  <si>
    <r>
      <t>ii. Adjust baseline and sample Δ</t>
    </r>
    <r>
      <rPr>
        <vertAlign val="subscript"/>
        <sz val="11"/>
        <color theme="1"/>
        <rFont val="Calibri"/>
        <family val="2"/>
        <scheme val="minor"/>
      </rPr>
      <t>47</t>
    </r>
    <r>
      <rPr>
        <sz val="11"/>
        <color theme="1"/>
        <rFont val="Calibri"/>
        <family val="2"/>
        <scheme val="minor"/>
      </rPr>
      <t xml:space="preserve"> to minimize differences between model output and measured results</t>
    </r>
  </si>
  <si>
    <r>
      <t>e.  Modify spreadsheet to fit mulitple groups of samples, e.g. ones with different Δ</t>
    </r>
    <r>
      <rPr>
        <vertAlign val="subscript"/>
        <sz val="11"/>
        <color theme="1"/>
        <rFont val="Calibri"/>
        <family val="2"/>
        <scheme val="minor"/>
      </rPr>
      <t>47</t>
    </r>
    <r>
      <rPr>
        <sz val="11"/>
        <color theme="1"/>
        <rFont val="Calibri"/>
        <family val="2"/>
        <scheme val="minor"/>
      </rPr>
      <t>, simultaneously.</t>
    </r>
  </si>
  <si>
    <r>
      <t>a.  Assumes all runs have the same baseline effect and all data points at same Δ</t>
    </r>
    <r>
      <rPr>
        <vertAlign val="subscript"/>
        <sz val="11"/>
        <color theme="1"/>
        <rFont val="Calibri"/>
        <family val="2"/>
        <scheme val="minor"/>
      </rPr>
      <t>47</t>
    </r>
    <r>
      <rPr>
        <sz val="11"/>
        <color theme="1"/>
        <rFont val="Calibri"/>
        <family val="2"/>
        <scheme val="minor"/>
      </rPr>
      <t>, and implicitly, same Δ</t>
    </r>
    <r>
      <rPr>
        <vertAlign val="superscript"/>
        <sz val="11"/>
        <color theme="1"/>
        <rFont val="Calibri"/>
        <family val="2"/>
        <scheme val="minor"/>
      </rPr>
      <t>17</t>
    </r>
    <r>
      <rPr>
        <sz val="11"/>
        <color theme="1"/>
        <rFont val="Calibri"/>
        <family val="2"/>
        <scheme val="minor"/>
      </rPr>
      <t>O</t>
    </r>
  </si>
  <si>
    <r>
      <t>Instead of fitting to the baseline, can compare measured data to the de-trended model data (linear fit, Δ</t>
    </r>
    <r>
      <rPr>
        <vertAlign val="subscript"/>
        <sz val="11"/>
        <color theme="1"/>
        <rFont val="Calibri"/>
        <family val="2"/>
        <scheme val="minor"/>
      </rPr>
      <t>47</t>
    </r>
    <r>
      <rPr>
        <sz val="11"/>
        <color theme="1"/>
        <rFont val="Calibri"/>
        <family val="2"/>
        <scheme val="minor"/>
      </rPr>
      <t xml:space="preserve"> vs </t>
    </r>
    <r>
      <rPr>
        <sz val="11"/>
        <color theme="1"/>
        <rFont val="Calibri"/>
        <family val="2"/>
      </rPr>
      <t>δ</t>
    </r>
    <r>
      <rPr>
        <vertAlign val="superscript"/>
        <sz val="11"/>
        <color theme="1"/>
        <rFont val="Calibri"/>
        <family val="2"/>
        <scheme val="minor"/>
      </rPr>
      <t>47</t>
    </r>
    <r>
      <rPr>
        <sz val="11"/>
        <color theme="1"/>
        <rFont val="Calibri"/>
        <family val="2"/>
        <scheme val="minor"/>
      </rPr>
      <t>) if baseline is small</t>
    </r>
  </si>
  <si>
    <r>
      <t xml:space="preserve">3. Fit </t>
    </r>
    <r>
      <rPr>
        <vertAlign val="superscript"/>
        <sz val="11"/>
        <color theme="1"/>
        <rFont val="Calibri"/>
        <family val="2"/>
        <scheme val="minor"/>
      </rPr>
      <t>17</t>
    </r>
    <r>
      <rPr>
        <sz val="11"/>
        <color theme="1"/>
        <rFont val="Calibri"/>
        <family val="2"/>
        <scheme val="minor"/>
      </rPr>
      <t>O</t>
    </r>
  </si>
  <si>
    <r>
      <t>a.  Assumes all runs have the same baseline effect and all data points at same Δ</t>
    </r>
    <r>
      <rPr>
        <vertAlign val="subscript"/>
        <sz val="11"/>
        <color theme="1"/>
        <rFont val="Calibri"/>
        <family val="2"/>
        <scheme val="minor"/>
      </rPr>
      <t>47</t>
    </r>
    <r>
      <rPr>
        <sz val="11"/>
        <color theme="1"/>
        <rFont val="Calibri"/>
        <family val="2"/>
        <scheme val="minor"/>
      </rPr>
      <t>, and different readings indicate a non-zero Δ</t>
    </r>
    <r>
      <rPr>
        <vertAlign val="subscript"/>
        <sz val="11"/>
        <color theme="1"/>
        <rFont val="Calibri"/>
        <family val="2"/>
        <scheme val="minor"/>
      </rPr>
      <t>17</t>
    </r>
  </si>
  <si>
    <r>
      <t>ii. Adjust baseline and Δ</t>
    </r>
    <r>
      <rPr>
        <vertAlign val="superscript"/>
        <sz val="11"/>
        <color theme="1"/>
        <rFont val="Calibri"/>
        <family val="2"/>
        <scheme val="minor"/>
      </rPr>
      <t>17</t>
    </r>
    <r>
      <rPr>
        <sz val="11"/>
        <color theme="1"/>
        <rFont val="Calibri"/>
        <family val="2"/>
        <scheme val="minor"/>
      </rPr>
      <t>O sample of interest to minimize differences between model output and measured result(s).</t>
    </r>
  </si>
  <si>
    <r>
      <t xml:space="preserve">4.  Monitor </t>
    </r>
    <r>
      <rPr>
        <vertAlign val="superscript"/>
        <sz val="11"/>
        <color theme="1"/>
        <rFont val="Calibri"/>
        <family val="2"/>
        <scheme val="minor"/>
      </rPr>
      <t>17</t>
    </r>
    <r>
      <rPr>
        <sz val="11"/>
        <color theme="1"/>
        <rFont val="Calibri"/>
        <family val="2"/>
        <scheme val="minor"/>
      </rPr>
      <t>O effects</t>
    </r>
  </si>
  <si>
    <r>
      <t xml:space="preserve">a. set up measurements so all samples should have same </t>
    </r>
    <r>
      <rPr>
        <vertAlign val="superscript"/>
        <sz val="11"/>
        <color theme="1"/>
        <rFont val="Calibri"/>
        <family val="2"/>
        <scheme val="minor"/>
      </rPr>
      <t>13</t>
    </r>
    <r>
      <rPr>
        <sz val="11"/>
        <color theme="1"/>
        <rFont val="Calibri"/>
        <family val="2"/>
        <scheme val="minor"/>
      </rPr>
      <t>C present--only "differences" due to effects of Δ</t>
    </r>
    <r>
      <rPr>
        <vertAlign val="superscript"/>
        <sz val="11"/>
        <color theme="1"/>
        <rFont val="Calibri"/>
        <family val="2"/>
        <scheme val="minor"/>
      </rPr>
      <t>17</t>
    </r>
    <r>
      <rPr>
        <sz val="11"/>
        <color theme="1"/>
        <rFont val="Calibri"/>
        <family val="2"/>
        <scheme val="minor"/>
      </rPr>
      <t>O.</t>
    </r>
  </si>
  <si>
    <t>b. Calculate estimate of Δ17 for different runs.</t>
  </si>
  <si>
    <r>
      <t xml:space="preserve">i. If working with </t>
    </r>
    <r>
      <rPr>
        <vertAlign val="superscript"/>
        <sz val="11"/>
        <color theme="1"/>
        <rFont val="Calibri"/>
        <family val="2"/>
        <scheme val="minor"/>
      </rPr>
      <t>18</t>
    </r>
    <r>
      <rPr>
        <sz val="11"/>
        <color theme="1"/>
        <rFont val="Calibri"/>
        <family val="2"/>
        <scheme val="minor"/>
      </rPr>
      <t xml:space="preserve">O spiked samples, initial estimate is </t>
    </r>
    <r>
      <rPr>
        <vertAlign val="superscript"/>
        <sz val="11"/>
        <color theme="1"/>
        <rFont val="Calibri"/>
        <family val="2"/>
        <scheme val="minor"/>
      </rPr>
      <t>18</t>
    </r>
    <r>
      <rPr>
        <sz val="11"/>
        <color theme="1"/>
        <rFont val="Calibri"/>
        <family val="2"/>
        <scheme val="minor"/>
      </rPr>
      <t xml:space="preserve">O spike does not add any </t>
    </r>
    <r>
      <rPr>
        <vertAlign val="superscript"/>
        <sz val="11"/>
        <color theme="1"/>
        <rFont val="Calibri"/>
        <family val="2"/>
        <scheme val="minor"/>
      </rPr>
      <t>17</t>
    </r>
    <r>
      <rPr>
        <sz val="11"/>
        <color theme="1"/>
        <rFont val="Calibri"/>
        <family val="2"/>
        <scheme val="minor"/>
      </rPr>
      <t xml:space="preserve">O, so difference in </t>
    </r>
    <r>
      <rPr>
        <vertAlign val="subscript"/>
        <sz val="11"/>
        <color theme="1"/>
        <rFont val="Calibri"/>
        <family val="2"/>
        <scheme val="minor"/>
      </rPr>
      <t>18</t>
    </r>
    <r>
      <rPr>
        <sz val="11"/>
        <color theme="1"/>
        <rFont val="Calibri"/>
        <family val="2"/>
        <scheme val="minor"/>
      </rPr>
      <t xml:space="preserve">O from unspiked sample a measure of "missing" </t>
    </r>
    <r>
      <rPr>
        <vertAlign val="superscript"/>
        <sz val="11"/>
        <color theme="1"/>
        <rFont val="Calibri"/>
        <family val="2"/>
        <scheme val="minor"/>
      </rPr>
      <t>17</t>
    </r>
    <r>
      <rPr>
        <sz val="11"/>
        <color theme="1"/>
        <rFont val="Calibri"/>
        <family val="2"/>
        <scheme val="minor"/>
      </rPr>
      <t>O.</t>
    </r>
  </si>
  <si>
    <r>
      <t>ii.  For Δ</t>
    </r>
    <r>
      <rPr>
        <vertAlign val="superscript"/>
        <sz val="11"/>
        <color theme="1"/>
        <rFont val="Calibri"/>
        <family val="2"/>
        <scheme val="minor"/>
      </rPr>
      <t>17</t>
    </r>
    <r>
      <rPr>
        <sz val="11"/>
        <color theme="1"/>
        <rFont val="Calibri"/>
        <family val="2"/>
        <scheme val="minor"/>
      </rPr>
      <t xml:space="preserve">O = 0, </t>
    </r>
    <r>
      <rPr>
        <vertAlign val="superscript"/>
        <sz val="11"/>
        <color theme="1"/>
        <rFont val="Calibri"/>
        <family val="2"/>
        <scheme val="minor"/>
      </rPr>
      <t>18</t>
    </r>
    <r>
      <rPr>
        <sz val="11"/>
        <color theme="1"/>
        <rFont val="Calibri"/>
        <family val="2"/>
        <scheme val="minor"/>
      </rPr>
      <t xml:space="preserve">O to </t>
    </r>
    <r>
      <rPr>
        <vertAlign val="superscript"/>
        <sz val="11"/>
        <color theme="1"/>
        <rFont val="Calibri"/>
        <family val="2"/>
        <scheme val="minor"/>
      </rPr>
      <t>17</t>
    </r>
    <r>
      <rPr>
        <sz val="11"/>
        <color theme="1"/>
        <rFont val="Calibri"/>
        <family val="2"/>
        <scheme val="minor"/>
      </rPr>
      <t xml:space="preserve">O relationship must fit parameter set used for calculating </t>
    </r>
    <r>
      <rPr>
        <vertAlign val="superscript"/>
        <sz val="11"/>
        <color theme="1"/>
        <rFont val="Calibri"/>
        <family val="2"/>
        <scheme val="minor"/>
      </rPr>
      <t>17</t>
    </r>
    <r>
      <rPr>
        <sz val="11"/>
        <color theme="1"/>
        <rFont val="Calibri"/>
        <family val="2"/>
        <scheme val="minor"/>
      </rPr>
      <t>O</t>
    </r>
  </si>
  <si>
    <r>
      <t xml:space="preserve">c. Compare unlabelled runs to spiked runs (either </t>
    </r>
    <r>
      <rPr>
        <vertAlign val="superscript"/>
        <sz val="11"/>
        <color theme="1"/>
        <rFont val="Calibri"/>
        <family val="2"/>
        <scheme val="minor"/>
      </rPr>
      <t>17</t>
    </r>
    <r>
      <rPr>
        <sz val="11"/>
        <color theme="1"/>
        <rFont val="Calibri"/>
        <family val="2"/>
        <scheme val="minor"/>
      </rPr>
      <t xml:space="preserve">O spiked for </t>
    </r>
    <r>
      <rPr>
        <vertAlign val="superscript"/>
        <sz val="11"/>
        <color theme="1"/>
        <rFont val="Calibri"/>
        <family val="2"/>
        <scheme val="minor"/>
      </rPr>
      <t>18</t>
    </r>
    <r>
      <rPr>
        <sz val="11"/>
        <color theme="1"/>
        <rFont val="Calibri"/>
        <family val="2"/>
        <scheme val="minor"/>
      </rPr>
      <t xml:space="preserve">O spiked for apparent loss of </t>
    </r>
    <r>
      <rPr>
        <vertAlign val="superscript"/>
        <sz val="11"/>
        <color theme="1"/>
        <rFont val="Calibri"/>
        <family val="2"/>
        <scheme val="minor"/>
      </rPr>
      <t>17</t>
    </r>
    <r>
      <rPr>
        <sz val="11"/>
        <color theme="1"/>
        <rFont val="Calibri"/>
        <family val="2"/>
        <scheme val="minor"/>
      </rPr>
      <t>O)</t>
    </r>
  </si>
  <si>
    <r>
      <t xml:space="preserve">i. model using measured </t>
    </r>
    <r>
      <rPr>
        <vertAlign val="superscript"/>
        <sz val="11"/>
        <color theme="1"/>
        <rFont val="Calibri"/>
        <family val="2"/>
        <scheme val="minor"/>
      </rPr>
      <t>18</t>
    </r>
    <r>
      <rPr>
        <sz val="11"/>
        <color theme="1"/>
        <rFont val="Calibri"/>
        <family val="2"/>
        <scheme val="minor"/>
      </rPr>
      <t>O values</t>
    </r>
  </si>
  <si>
    <r>
      <t>a.  Modify spreadsheet to repeat Δ</t>
    </r>
    <r>
      <rPr>
        <vertAlign val="subscript"/>
        <sz val="11"/>
        <color theme="1"/>
        <rFont val="Calibri"/>
        <family val="2"/>
        <scheme val="minor"/>
      </rPr>
      <t>47</t>
    </r>
    <r>
      <rPr>
        <sz val="11"/>
        <color theme="1"/>
        <rFont val="Calibri"/>
        <family val="2"/>
        <scheme val="minor"/>
      </rPr>
      <t xml:space="preserve"> calculation, e.g. use one parameter set to calculate </t>
    </r>
    <r>
      <rPr>
        <vertAlign val="superscript"/>
        <sz val="11"/>
        <color theme="1"/>
        <rFont val="Calibri"/>
        <family val="2"/>
        <scheme val="minor"/>
      </rPr>
      <t>13</t>
    </r>
    <r>
      <rPr>
        <sz val="11"/>
        <color theme="1"/>
        <rFont val="Calibri"/>
        <family val="2"/>
        <scheme val="minor"/>
      </rPr>
      <t xml:space="preserve">C and </t>
    </r>
    <r>
      <rPr>
        <vertAlign val="superscript"/>
        <sz val="11"/>
        <color theme="1"/>
        <rFont val="Calibri"/>
        <family val="2"/>
        <scheme val="minor"/>
      </rPr>
      <t>18</t>
    </r>
    <r>
      <rPr>
        <sz val="11"/>
        <color theme="1"/>
        <rFont val="Calibri"/>
        <family val="2"/>
        <scheme val="minor"/>
      </rPr>
      <t>O, and expected values, from model data, then another for D47 calculation</t>
    </r>
  </si>
  <si>
    <r>
      <t xml:space="preserve">Akin to taking intrument output for </t>
    </r>
    <r>
      <rPr>
        <vertAlign val="superscript"/>
        <sz val="11"/>
        <color theme="1"/>
        <rFont val="Calibri"/>
        <family val="2"/>
        <scheme val="minor"/>
      </rPr>
      <t>13</t>
    </r>
    <r>
      <rPr>
        <sz val="11"/>
        <color theme="1"/>
        <rFont val="Calibri"/>
        <family val="2"/>
        <scheme val="minor"/>
      </rPr>
      <t xml:space="preserve">C and </t>
    </r>
    <r>
      <rPr>
        <vertAlign val="superscript"/>
        <sz val="11"/>
        <color theme="1"/>
        <rFont val="Calibri"/>
        <family val="2"/>
        <scheme val="minor"/>
      </rPr>
      <t>18</t>
    </r>
    <r>
      <rPr>
        <sz val="11"/>
        <color theme="1"/>
        <rFont val="Calibri"/>
        <family val="2"/>
        <scheme val="minor"/>
      </rPr>
      <t>O, the processing data for Δ</t>
    </r>
    <r>
      <rPr>
        <vertAlign val="subscript"/>
        <sz val="11"/>
        <color theme="1"/>
        <rFont val="Calibri"/>
        <family val="2"/>
        <scheme val="minor"/>
      </rPr>
      <t>17</t>
    </r>
    <r>
      <rPr>
        <sz val="11"/>
        <color theme="1"/>
        <rFont val="Calibri"/>
        <family val="2"/>
        <scheme val="minor"/>
      </rPr>
      <t xml:space="preserve"> using a different parameter set</t>
    </r>
  </si>
  <si>
    <r>
      <t>Can give rise to large Δ</t>
    </r>
    <r>
      <rPr>
        <vertAlign val="subscript"/>
        <sz val="11"/>
        <color theme="1"/>
        <rFont val="Calibri"/>
        <family val="2"/>
        <scheme val="minor"/>
      </rPr>
      <t>45</t>
    </r>
    <r>
      <rPr>
        <sz val="11"/>
        <color theme="1"/>
        <rFont val="Calibri"/>
        <family val="2"/>
        <scheme val="minor"/>
      </rPr>
      <t>, Δ</t>
    </r>
    <r>
      <rPr>
        <vertAlign val="subscript"/>
        <sz val="11"/>
        <color theme="1"/>
        <rFont val="Calibri"/>
        <family val="2"/>
        <scheme val="minor"/>
      </rPr>
      <t>46</t>
    </r>
    <r>
      <rPr>
        <sz val="11"/>
        <color theme="1"/>
        <rFont val="Calibri"/>
        <family val="2"/>
        <scheme val="minor"/>
      </rPr>
      <t xml:space="preserve"> and even initial Δ</t>
    </r>
    <r>
      <rPr>
        <vertAlign val="subscript"/>
        <sz val="11"/>
        <color theme="1"/>
        <rFont val="Calibri"/>
        <family val="2"/>
        <scheme val="minor"/>
      </rPr>
      <t>47</t>
    </r>
    <r>
      <rPr>
        <sz val="11"/>
        <color theme="1"/>
        <rFont val="Calibri"/>
        <family val="2"/>
        <scheme val="minor"/>
      </rPr>
      <t xml:space="preserve"> values: but full Δ</t>
    </r>
    <r>
      <rPr>
        <vertAlign val="subscript"/>
        <sz val="11"/>
        <color theme="1"/>
        <rFont val="Calibri"/>
        <family val="2"/>
        <scheme val="minor"/>
      </rPr>
      <t>47</t>
    </r>
    <r>
      <rPr>
        <sz val="11"/>
        <color theme="1"/>
        <rFont val="Calibri"/>
        <family val="2"/>
        <scheme val="minor"/>
      </rPr>
      <t xml:space="preserve"> values normal</t>
    </r>
  </si>
  <si>
    <r>
      <t xml:space="preserve">ii. "add in" the effect, </t>
    </r>
    <r>
      <rPr>
        <i/>
        <sz val="11"/>
        <color theme="1"/>
        <rFont val="Calibri"/>
        <family val="2"/>
        <scheme val="minor"/>
      </rPr>
      <t>i.e</t>
    </r>
    <r>
      <rPr>
        <sz val="11"/>
        <color theme="1"/>
        <rFont val="Calibri"/>
        <family val="2"/>
        <scheme val="minor"/>
      </rPr>
      <t xml:space="preserve">. start with unspiked </t>
    </r>
    <r>
      <rPr>
        <vertAlign val="superscript"/>
        <sz val="11"/>
        <color theme="1"/>
        <rFont val="Calibri"/>
        <family val="2"/>
        <scheme val="minor"/>
      </rPr>
      <t>13</t>
    </r>
    <r>
      <rPr>
        <sz val="11"/>
        <color theme="1"/>
        <rFont val="Calibri"/>
        <family val="2"/>
        <scheme val="minor"/>
      </rPr>
      <t xml:space="preserve">C reading and see if model output gives measured </t>
    </r>
    <r>
      <rPr>
        <vertAlign val="superscript"/>
        <sz val="11"/>
        <color theme="1"/>
        <rFont val="Calibri"/>
        <family val="2"/>
        <scheme val="minor"/>
      </rPr>
      <t>13</t>
    </r>
    <r>
      <rPr>
        <sz val="11"/>
        <color theme="1"/>
        <rFont val="Calibri"/>
        <family val="2"/>
        <scheme val="minor"/>
      </rPr>
      <t>C reading for spiked sample.</t>
    </r>
  </si>
  <si>
    <t>data generation</t>
  </si>
  <si>
    <t>example:</t>
  </si>
  <si>
    <r>
      <rPr>
        <b/>
        <sz val="11"/>
        <color theme="1"/>
        <rFont val="Calibri"/>
        <family val="2"/>
      </rPr>
      <t>Δ</t>
    </r>
    <r>
      <rPr>
        <b/>
        <vertAlign val="subscript"/>
        <sz val="11"/>
        <color theme="1"/>
        <rFont val="Calibri"/>
        <family val="2"/>
        <scheme val="minor"/>
      </rPr>
      <t>47</t>
    </r>
    <r>
      <rPr>
        <b/>
        <sz val="11"/>
        <color theme="1"/>
        <rFont val="Calibri"/>
        <family val="2"/>
        <scheme val="minor"/>
      </rPr>
      <t xml:space="preserve"> determination</t>
    </r>
  </si>
  <si>
    <t>title:</t>
  </si>
  <si>
    <t xml:space="preserve">Note: signal can be in any unit as long as used consistently </t>
  </si>
  <si>
    <t>starting 18O</t>
  </si>
  <si>
    <t>init R18 from R46</t>
  </si>
  <si>
    <r>
      <t>δ</t>
    </r>
    <r>
      <rPr>
        <b/>
        <vertAlign val="superscript"/>
        <sz val="11"/>
        <color theme="1"/>
        <rFont val="Calibri"/>
        <family val="2"/>
      </rPr>
      <t>13</t>
    </r>
    <r>
      <rPr>
        <b/>
        <sz val="11"/>
        <color theme="1"/>
        <rFont val="Calibri"/>
        <family val="2"/>
        <scheme val="minor"/>
      </rPr>
      <t>C</t>
    </r>
    <r>
      <rPr>
        <b/>
        <vertAlign val="subscript"/>
        <sz val="11"/>
        <color theme="1"/>
        <rFont val="Calibri"/>
        <family val="2"/>
        <scheme val="minor"/>
      </rPr>
      <t>VPDB</t>
    </r>
  </si>
  <si>
    <r>
      <rPr>
        <b/>
        <sz val="11"/>
        <color theme="1"/>
        <rFont val="Calibri"/>
        <family val="2"/>
      </rPr>
      <t>δ</t>
    </r>
    <r>
      <rPr>
        <b/>
        <vertAlign val="superscript"/>
        <sz val="11"/>
        <color theme="1"/>
        <rFont val="Calibri"/>
        <family val="2"/>
        <scheme val="minor"/>
      </rPr>
      <t>18</t>
    </r>
    <r>
      <rPr>
        <b/>
        <sz val="11"/>
        <color theme="1"/>
        <rFont val="Calibri"/>
        <family val="2"/>
        <scheme val="minor"/>
      </rPr>
      <t>O</t>
    </r>
    <r>
      <rPr>
        <b/>
        <vertAlign val="subscript"/>
        <sz val="11"/>
        <color theme="1"/>
        <rFont val="Calibri"/>
        <family val="2"/>
        <scheme val="minor"/>
      </rPr>
      <t>VSMOW</t>
    </r>
  </si>
  <si>
    <t>modification to signal(s):</t>
  </si>
  <si>
    <t>example (no effects)</t>
  </si>
  <si>
    <t>single point w/modifications</t>
  </si>
  <si>
    <t xml:space="preserve"> w/out added modifications</t>
  </si>
  <si>
    <r>
      <t>δ</t>
    </r>
    <r>
      <rPr>
        <b/>
        <vertAlign val="superscript"/>
        <sz val="11"/>
        <color theme="1"/>
        <rFont val="Calibri"/>
        <family val="2"/>
      </rPr>
      <t>13</t>
    </r>
    <r>
      <rPr>
        <b/>
        <sz val="11"/>
        <color theme="1"/>
        <rFont val="Calibri"/>
        <family val="2"/>
      </rPr>
      <t>C</t>
    </r>
    <r>
      <rPr>
        <b/>
        <vertAlign val="subscript"/>
        <sz val="11"/>
        <color theme="1"/>
        <rFont val="Calibri"/>
        <family val="2"/>
      </rPr>
      <t>VPDB</t>
    </r>
  </si>
  <si>
    <t>from model</t>
  </si>
  <si>
    <r>
      <rPr>
        <sz val="11"/>
        <color theme="1"/>
        <rFont val="Calibri"/>
        <family val="2"/>
      </rPr>
      <t>δ</t>
    </r>
    <r>
      <rPr>
        <vertAlign val="superscript"/>
        <sz val="11"/>
        <color theme="1"/>
        <rFont val="Calibri"/>
        <family val="2"/>
        <scheme val="minor"/>
      </rPr>
      <t>13</t>
    </r>
    <r>
      <rPr>
        <sz val="11"/>
        <color theme="1"/>
        <rFont val="Calibri"/>
        <family val="2"/>
        <scheme val="minor"/>
      </rPr>
      <t>C calc - δ</t>
    </r>
    <r>
      <rPr>
        <vertAlign val="superscript"/>
        <sz val="11"/>
        <color theme="1"/>
        <rFont val="Calibri"/>
        <family val="2"/>
        <scheme val="minor"/>
      </rPr>
      <t>13</t>
    </r>
    <r>
      <rPr>
        <sz val="11"/>
        <color theme="1"/>
        <rFont val="Calibri"/>
        <family val="2"/>
        <scheme val="minor"/>
      </rPr>
      <t>C init</t>
    </r>
  </si>
  <si>
    <t>reference (from "Parameters" tab)</t>
  </si>
  <si>
    <t>data points matrix:</t>
  </si>
  <si>
    <t>(input data points here)</t>
  </si>
  <si>
    <r>
      <t>Generate data for given sets of δ</t>
    </r>
    <r>
      <rPr>
        <b/>
        <vertAlign val="superscript"/>
        <sz val="14"/>
        <color theme="1"/>
        <rFont val="Calibri"/>
        <family val="2"/>
        <scheme val="minor"/>
      </rPr>
      <t>13</t>
    </r>
    <r>
      <rPr>
        <b/>
        <sz val="14"/>
        <color theme="1"/>
        <rFont val="Calibri"/>
        <family val="2"/>
        <scheme val="minor"/>
      </rPr>
      <t>C  VPDB and δ</t>
    </r>
    <r>
      <rPr>
        <b/>
        <vertAlign val="superscript"/>
        <sz val="14"/>
        <color theme="1"/>
        <rFont val="Calibri"/>
        <family val="2"/>
        <scheme val="minor"/>
      </rPr>
      <t>18</t>
    </r>
    <r>
      <rPr>
        <b/>
        <sz val="14"/>
        <color theme="1"/>
        <rFont val="Calibri"/>
        <family val="2"/>
        <scheme val="minor"/>
      </rPr>
      <t>O VSMOW and reference values (CO</t>
    </r>
    <r>
      <rPr>
        <b/>
        <vertAlign val="subscript"/>
        <sz val="14"/>
        <color theme="1"/>
        <rFont val="Calibri"/>
        <family val="2"/>
        <scheme val="minor"/>
      </rPr>
      <t>2</t>
    </r>
    <r>
      <rPr>
        <b/>
        <sz val="14"/>
        <color theme="1"/>
        <rFont val="Calibri"/>
        <family val="2"/>
        <scheme val="minor"/>
      </rPr>
      <t xml:space="preserve"> gas, </t>
    </r>
    <r>
      <rPr>
        <b/>
        <sz val="14"/>
        <color theme="1"/>
        <rFont val="Calibri"/>
        <family val="2"/>
      </rPr>
      <t>Δ</t>
    </r>
    <r>
      <rPr>
        <b/>
        <vertAlign val="subscript"/>
        <sz val="14"/>
        <color theme="1"/>
        <rFont val="Calibri"/>
        <family val="2"/>
        <scheme val="minor"/>
      </rPr>
      <t>47</t>
    </r>
    <r>
      <rPr>
        <b/>
        <sz val="14"/>
        <color theme="1"/>
        <rFont val="Calibri"/>
        <family val="2"/>
        <scheme val="minor"/>
      </rPr>
      <t xml:space="preserve"> calculations)</t>
    </r>
  </si>
  <si>
    <r>
      <t>Same or different parameter set used to calculate results using reference gas values (CO</t>
    </r>
    <r>
      <rPr>
        <b/>
        <vertAlign val="subscript"/>
        <sz val="14"/>
        <color theme="1"/>
        <rFont val="Calibri"/>
        <family val="2"/>
        <scheme val="minor"/>
      </rPr>
      <t>2</t>
    </r>
    <r>
      <rPr>
        <b/>
        <sz val="14"/>
        <color theme="1"/>
        <rFont val="Calibri"/>
        <family val="2"/>
        <scheme val="minor"/>
      </rPr>
      <t xml:space="preserve"> gas, Δ</t>
    </r>
    <r>
      <rPr>
        <b/>
        <vertAlign val="subscript"/>
        <sz val="14"/>
        <color theme="1"/>
        <rFont val="Calibri"/>
        <family val="2"/>
        <scheme val="minor"/>
      </rPr>
      <t>47</t>
    </r>
    <r>
      <rPr>
        <b/>
        <sz val="14"/>
        <color theme="1"/>
        <rFont val="Calibri"/>
        <family val="2"/>
        <scheme val="minor"/>
      </rPr>
      <t xml:space="preserve"> calculations)</t>
    </r>
  </si>
  <si>
    <r>
      <t>Focus on clumped isotopes, but may see effect on  δ</t>
    </r>
    <r>
      <rPr>
        <b/>
        <vertAlign val="superscript"/>
        <sz val="12"/>
        <color theme="1"/>
        <rFont val="Calibri"/>
        <family val="2"/>
        <scheme val="minor"/>
      </rPr>
      <t>13</t>
    </r>
    <r>
      <rPr>
        <b/>
        <sz val="12"/>
        <color theme="1"/>
        <rFont val="Calibri"/>
        <family val="2"/>
        <scheme val="minor"/>
      </rPr>
      <t>C</t>
    </r>
    <r>
      <rPr>
        <b/>
        <vertAlign val="subscript"/>
        <sz val="12"/>
        <color theme="1"/>
        <rFont val="Calibri"/>
        <family val="2"/>
        <scheme val="minor"/>
      </rPr>
      <t>VPDB</t>
    </r>
    <r>
      <rPr>
        <b/>
        <sz val="12"/>
        <color theme="1"/>
        <rFont val="Calibri"/>
        <family val="2"/>
        <scheme val="minor"/>
      </rPr>
      <t xml:space="preserve"> results.</t>
    </r>
  </si>
  <si>
    <r>
      <t>Parameters used to generate data for given sets of δ</t>
    </r>
    <r>
      <rPr>
        <b/>
        <vertAlign val="superscript"/>
        <sz val="14"/>
        <color theme="1"/>
        <rFont val="Calibri"/>
        <family val="2"/>
        <scheme val="minor"/>
      </rPr>
      <t>13</t>
    </r>
    <r>
      <rPr>
        <b/>
        <sz val="14"/>
        <color theme="1"/>
        <rFont val="Calibri"/>
        <family val="2"/>
        <scheme val="minor"/>
      </rPr>
      <t>C</t>
    </r>
    <r>
      <rPr>
        <b/>
        <vertAlign val="subscript"/>
        <sz val="14"/>
        <color theme="1"/>
        <rFont val="Calibri"/>
        <family val="2"/>
        <scheme val="minor"/>
      </rPr>
      <t>VPDB</t>
    </r>
    <r>
      <rPr>
        <b/>
        <sz val="14"/>
        <color theme="1"/>
        <rFont val="Calibri"/>
        <family val="2"/>
        <scheme val="minor"/>
      </rPr>
      <t xml:space="preserve"> and δ</t>
    </r>
    <r>
      <rPr>
        <b/>
        <vertAlign val="superscript"/>
        <sz val="14"/>
        <color theme="1"/>
        <rFont val="Calibri"/>
        <family val="2"/>
        <scheme val="minor"/>
      </rPr>
      <t>18</t>
    </r>
    <r>
      <rPr>
        <b/>
        <sz val="14"/>
        <color theme="1"/>
        <rFont val="Calibri"/>
        <family val="2"/>
        <scheme val="minor"/>
      </rPr>
      <t>O</t>
    </r>
    <r>
      <rPr>
        <b/>
        <vertAlign val="subscript"/>
        <sz val="14"/>
        <color theme="1"/>
        <rFont val="Calibri"/>
        <family val="2"/>
        <scheme val="minor"/>
      </rPr>
      <t>VSMOW</t>
    </r>
    <r>
      <rPr>
        <b/>
        <sz val="14"/>
        <color theme="1"/>
        <rFont val="Calibri"/>
        <family val="2"/>
        <scheme val="minor"/>
      </rPr>
      <t xml:space="preserve"> values.</t>
    </r>
  </si>
  <si>
    <t>"datapoints" tab for both data input (yellow) and output (light purple)</t>
  </si>
  <si>
    <t>for single point, "datapoints" tab, line 8</t>
  </si>
  <si>
    <t>for multiple samples, matrix starts on line 10, "datapoints" tab</t>
  </si>
  <si>
    <t>"Parameters" tab:</t>
  </si>
  <si>
    <t>"datapoints" tab:</t>
  </si>
  <si>
    <t>"baseline-D17-D47" tab:</t>
  </si>
  <si>
    <r>
      <t xml:space="preserve">Measured </t>
    </r>
    <r>
      <rPr>
        <sz val="11"/>
        <color theme="1"/>
        <rFont val="Calibri"/>
        <family val="2"/>
      </rPr>
      <t>Δ</t>
    </r>
    <r>
      <rPr>
        <vertAlign val="subscript"/>
        <sz val="11"/>
        <color theme="1"/>
        <rFont val="Calibri"/>
        <family val="2"/>
        <scheme val="minor"/>
      </rPr>
      <t>47</t>
    </r>
    <r>
      <rPr>
        <sz val="11"/>
        <color theme="1"/>
        <rFont val="Calibri"/>
        <family val="2"/>
        <scheme val="minor"/>
      </rPr>
      <t xml:space="preserve"> if available can be compared to calculated output. Need to modify spreadsheet to use "Solver" function to find best fit by modifying parameters.  Parameters that are changing and the best fit results have to be in the same tab.</t>
    </r>
  </si>
  <si>
    <r>
      <t xml:space="preserve"> δ</t>
    </r>
    <r>
      <rPr>
        <vertAlign val="superscript"/>
        <sz val="11"/>
        <color theme="1"/>
        <rFont val="Calibri"/>
        <family val="2"/>
        <scheme val="minor"/>
      </rPr>
      <t>17</t>
    </r>
    <r>
      <rPr>
        <sz val="11"/>
        <color theme="1"/>
        <rFont val="Calibri"/>
        <family val="2"/>
        <scheme val="minor"/>
      </rPr>
      <t>O</t>
    </r>
    <r>
      <rPr>
        <vertAlign val="subscript"/>
        <sz val="11"/>
        <color theme="1"/>
        <rFont val="Calibri"/>
        <family val="2"/>
        <scheme val="minor"/>
      </rPr>
      <t>VSMOW</t>
    </r>
    <r>
      <rPr>
        <sz val="11"/>
        <color theme="1"/>
        <rFont val="Calibri"/>
        <family val="2"/>
        <scheme val="minor"/>
      </rPr>
      <t xml:space="preserve"> calculated from calculated  δ</t>
    </r>
    <r>
      <rPr>
        <vertAlign val="superscript"/>
        <sz val="11"/>
        <color theme="1"/>
        <rFont val="Calibri"/>
        <family val="2"/>
        <scheme val="minor"/>
      </rPr>
      <t>18</t>
    </r>
    <r>
      <rPr>
        <sz val="11"/>
        <color theme="1"/>
        <rFont val="Calibri"/>
        <family val="2"/>
        <scheme val="minor"/>
      </rPr>
      <t>O</t>
    </r>
    <r>
      <rPr>
        <vertAlign val="subscript"/>
        <sz val="11"/>
        <color theme="1"/>
        <rFont val="Calibri"/>
        <family val="2"/>
        <scheme val="minor"/>
      </rPr>
      <t>VSMOW</t>
    </r>
    <r>
      <rPr>
        <sz val="11"/>
        <color theme="1"/>
        <rFont val="Calibri"/>
        <family val="2"/>
        <scheme val="minor"/>
      </rPr>
      <t xml:space="preserve"> using "</t>
    </r>
    <r>
      <rPr>
        <sz val="11"/>
        <color theme="1"/>
        <rFont val="Calibri"/>
        <family val="2"/>
      </rPr>
      <t>Δ</t>
    </r>
    <r>
      <rPr>
        <vertAlign val="subscript"/>
        <sz val="11"/>
        <color theme="1"/>
        <rFont val="Calibri"/>
        <family val="2"/>
        <scheme val="minor"/>
      </rPr>
      <t>47</t>
    </r>
    <r>
      <rPr>
        <sz val="11"/>
        <color theme="1"/>
        <rFont val="Calibri"/>
        <family val="2"/>
        <scheme val="minor"/>
      </rPr>
      <t xml:space="preserve"> determination" parameter set in the "Parameters" tab.</t>
    </r>
  </si>
  <si>
    <r>
      <rPr>
        <sz val="11"/>
        <color theme="1"/>
        <rFont val="Calibri"/>
        <family val="2"/>
      </rPr>
      <t>Δ</t>
    </r>
    <r>
      <rPr>
        <vertAlign val="subscript"/>
        <sz val="11"/>
        <color theme="1"/>
        <rFont val="Calibri"/>
        <family val="2"/>
        <scheme val="minor"/>
      </rPr>
      <t>47</t>
    </r>
    <r>
      <rPr>
        <sz val="11"/>
        <color theme="1"/>
        <rFont val="Calibri"/>
        <family val="2"/>
        <scheme val="minor"/>
      </rPr>
      <t xml:space="preserve"> also calculated relative to working (reference) gas, "Parameters" tab.  Can apply Δ</t>
    </r>
    <r>
      <rPr>
        <vertAlign val="subscript"/>
        <sz val="11"/>
        <color theme="1"/>
        <rFont val="Calibri"/>
        <family val="2"/>
        <scheme val="minor"/>
      </rPr>
      <t>47</t>
    </r>
    <r>
      <rPr>
        <sz val="11"/>
        <color theme="1"/>
        <rFont val="Calibri"/>
        <family val="2"/>
        <scheme val="minor"/>
      </rPr>
      <t xml:space="preserve"> offset to reference gas for calculations, "baseline-D17-D47" tab</t>
    </r>
  </si>
  <si>
    <t>value if combine all signals together at amplification factor 1</t>
  </si>
  <si>
    <r>
      <rPr>
        <vertAlign val="superscript"/>
        <sz val="12"/>
        <color rgb="FF000000"/>
        <rFont val="Calibri"/>
        <family val="2"/>
        <scheme val="minor"/>
      </rPr>
      <t>45</t>
    </r>
    <r>
      <rPr>
        <sz val="12"/>
        <color rgb="FF000000"/>
        <rFont val="Calibri"/>
        <family val="2"/>
        <scheme val="minor"/>
      </rPr>
      <t>R=</t>
    </r>
    <r>
      <rPr>
        <vertAlign val="superscript"/>
        <sz val="12"/>
        <color rgb="FF000000"/>
        <rFont val="Calibri"/>
        <family val="2"/>
        <scheme val="minor"/>
      </rPr>
      <t>13</t>
    </r>
    <r>
      <rPr>
        <sz val="12"/>
        <color rgb="FF000000"/>
        <rFont val="Calibri"/>
        <family val="2"/>
        <scheme val="minor"/>
      </rPr>
      <t>R+2*</t>
    </r>
    <r>
      <rPr>
        <vertAlign val="superscript"/>
        <sz val="12"/>
        <color rgb="FF000000"/>
        <rFont val="Calibri"/>
        <family val="2"/>
        <scheme val="minor"/>
      </rPr>
      <t>17</t>
    </r>
    <r>
      <rPr>
        <sz val="12"/>
        <color rgb="FF000000"/>
        <rFont val="Calibri"/>
        <family val="2"/>
        <scheme val="minor"/>
      </rPr>
      <t>R</t>
    </r>
  </si>
  <si>
    <r>
      <rPr>
        <vertAlign val="superscript"/>
        <sz val="12"/>
        <color rgb="FF000000"/>
        <rFont val="Calibri"/>
        <family val="2"/>
        <scheme val="minor"/>
      </rPr>
      <t>46</t>
    </r>
    <r>
      <rPr>
        <sz val="12"/>
        <color rgb="FF000000"/>
        <rFont val="Calibri"/>
        <family val="2"/>
        <scheme val="minor"/>
      </rPr>
      <t>R=2*</t>
    </r>
    <r>
      <rPr>
        <vertAlign val="superscript"/>
        <sz val="12"/>
        <color rgb="FF000000"/>
        <rFont val="Calibri"/>
        <family val="2"/>
        <scheme val="minor"/>
      </rPr>
      <t>18</t>
    </r>
    <r>
      <rPr>
        <sz val="12"/>
        <color rgb="FF000000"/>
        <rFont val="Calibri"/>
        <family val="2"/>
        <scheme val="minor"/>
      </rPr>
      <t>R+2*</t>
    </r>
    <r>
      <rPr>
        <vertAlign val="superscript"/>
        <sz val="12"/>
        <color rgb="FF000000"/>
        <rFont val="Calibri"/>
        <family val="2"/>
        <scheme val="minor"/>
      </rPr>
      <t>13</t>
    </r>
    <r>
      <rPr>
        <sz val="12"/>
        <color rgb="FF000000"/>
        <rFont val="Calibri"/>
        <family val="2"/>
        <scheme val="minor"/>
      </rPr>
      <t>R*</t>
    </r>
    <r>
      <rPr>
        <vertAlign val="superscript"/>
        <sz val="12"/>
        <color rgb="FF000000"/>
        <rFont val="Calibri"/>
        <family val="2"/>
        <scheme val="minor"/>
      </rPr>
      <t>17</t>
    </r>
    <r>
      <rPr>
        <sz val="12"/>
        <color rgb="FF000000"/>
        <rFont val="Calibri"/>
        <family val="2"/>
        <scheme val="minor"/>
      </rPr>
      <t>R+</t>
    </r>
    <r>
      <rPr>
        <vertAlign val="superscript"/>
        <sz val="12"/>
        <color rgb="FF000000"/>
        <rFont val="Calibri"/>
        <family val="2"/>
        <scheme val="minor"/>
      </rPr>
      <t>17</t>
    </r>
    <r>
      <rPr>
        <sz val="12"/>
        <color rgb="FF000000"/>
        <rFont val="Calibri"/>
        <family val="2"/>
        <scheme val="minor"/>
      </rPr>
      <t>R*</t>
    </r>
    <r>
      <rPr>
        <vertAlign val="superscript"/>
        <sz val="12"/>
        <color rgb="FF000000"/>
        <rFont val="Calibri"/>
        <family val="2"/>
        <scheme val="minor"/>
      </rPr>
      <t>17</t>
    </r>
    <r>
      <rPr>
        <sz val="12"/>
        <color rgb="FF000000"/>
        <rFont val="Calibri"/>
        <family val="2"/>
        <scheme val="minor"/>
      </rPr>
      <t>R</t>
    </r>
  </si>
  <si>
    <r>
      <t xml:space="preserve">with:  </t>
    </r>
    <r>
      <rPr>
        <vertAlign val="superscript"/>
        <sz val="12"/>
        <color rgb="FF000000"/>
        <rFont val="Calibri"/>
        <family val="2"/>
        <scheme val="minor"/>
      </rPr>
      <t>17</t>
    </r>
    <r>
      <rPr>
        <sz val="12"/>
        <color rgb="FF000000"/>
        <rFont val="Calibri"/>
        <family val="2"/>
        <scheme val="minor"/>
      </rPr>
      <t>R = k*(</t>
    </r>
    <r>
      <rPr>
        <vertAlign val="superscript"/>
        <sz val="12"/>
        <color rgb="FF000000"/>
        <rFont val="Calibri"/>
        <family val="2"/>
        <scheme val="minor"/>
      </rPr>
      <t>18</t>
    </r>
    <r>
      <rPr>
        <sz val="12"/>
        <color rgb="FF000000"/>
        <rFont val="Calibri"/>
        <family val="2"/>
        <scheme val="minor"/>
      </rPr>
      <t>R</t>
    </r>
    <r>
      <rPr>
        <sz val="12"/>
        <color rgb="FF000000"/>
        <rFont val="Calibri"/>
        <family val="2"/>
        <scheme val="minor"/>
      </rPr>
      <t>)</t>
    </r>
    <r>
      <rPr>
        <vertAlign val="superscript"/>
        <sz val="12"/>
        <color rgb="FF000000"/>
        <rFont val="Calibri"/>
        <family val="2"/>
        <scheme val="minor"/>
      </rPr>
      <t>λ</t>
    </r>
  </si>
  <si>
    <r>
      <t xml:space="preserve">rearranging: </t>
    </r>
    <r>
      <rPr>
        <vertAlign val="superscript"/>
        <sz val="12"/>
        <color rgb="FF000000"/>
        <rFont val="Calibri"/>
        <family val="2"/>
        <scheme val="minor"/>
      </rPr>
      <t>13</t>
    </r>
    <r>
      <rPr>
        <sz val="12"/>
        <color rgb="FF000000"/>
        <rFont val="Calibri"/>
        <family val="2"/>
        <scheme val="minor"/>
      </rPr>
      <t xml:space="preserve">R= </t>
    </r>
    <r>
      <rPr>
        <vertAlign val="superscript"/>
        <sz val="12"/>
        <color rgb="FF000000"/>
        <rFont val="Calibri"/>
        <family val="2"/>
        <scheme val="minor"/>
      </rPr>
      <t>45</t>
    </r>
    <r>
      <rPr>
        <sz val="12"/>
        <color rgb="FF000000"/>
        <rFont val="Calibri"/>
        <family val="2"/>
        <scheme val="minor"/>
      </rPr>
      <t>R-2*</t>
    </r>
    <r>
      <rPr>
        <vertAlign val="superscript"/>
        <sz val="12"/>
        <color rgb="FF000000"/>
        <rFont val="Calibri"/>
        <family val="2"/>
        <scheme val="minor"/>
      </rPr>
      <t>17</t>
    </r>
    <r>
      <rPr>
        <sz val="12"/>
        <color rgb="FF000000"/>
        <rFont val="Calibri"/>
        <family val="2"/>
        <scheme val="minor"/>
      </rPr>
      <t>R</t>
    </r>
  </si>
  <si>
    <r>
      <t xml:space="preserve">Substitute in: </t>
    </r>
    <r>
      <rPr>
        <vertAlign val="superscript"/>
        <sz val="12"/>
        <color rgb="FF000000"/>
        <rFont val="Calibri"/>
        <family val="2"/>
        <scheme val="minor"/>
      </rPr>
      <t>46</t>
    </r>
    <r>
      <rPr>
        <sz val="12"/>
        <color rgb="FF000000"/>
        <rFont val="Calibri"/>
        <family val="2"/>
        <scheme val="minor"/>
      </rPr>
      <t>R=2*</t>
    </r>
    <r>
      <rPr>
        <vertAlign val="superscript"/>
        <sz val="12"/>
        <color rgb="FF000000"/>
        <rFont val="Calibri"/>
        <family val="2"/>
        <scheme val="minor"/>
      </rPr>
      <t>18</t>
    </r>
    <r>
      <rPr>
        <sz val="12"/>
        <color rgb="FF000000"/>
        <rFont val="Calibri"/>
        <family val="2"/>
        <scheme val="minor"/>
      </rPr>
      <t>R+ 2*(</t>
    </r>
    <r>
      <rPr>
        <vertAlign val="superscript"/>
        <sz val="12"/>
        <color rgb="FF000000"/>
        <rFont val="Calibri"/>
        <family val="2"/>
        <scheme val="minor"/>
      </rPr>
      <t>45</t>
    </r>
    <r>
      <rPr>
        <sz val="12"/>
        <color rgb="FF000000"/>
        <rFont val="Calibri"/>
        <family val="2"/>
        <scheme val="minor"/>
      </rPr>
      <t>R-2*</t>
    </r>
    <r>
      <rPr>
        <vertAlign val="superscript"/>
        <sz val="12"/>
        <color rgb="FF000000"/>
        <rFont val="Calibri"/>
        <family val="2"/>
        <scheme val="minor"/>
      </rPr>
      <t>17</t>
    </r>
    <r>
      <rPr>
        <sz val="12"/>
        <color rgb="FF000000"/>
        <rFont val="Calibri"/>
        <family val="2"/>
        <scheme val="minor"/>
      </rPr>
      <t>R)*</t>
    </r>
    <r>
      <rPr>
        <vertAlign val="superscript"/>
        <sz val="12"/>
        <color rgb="FF000000"/>
        <rFont val="Calibri"/>
        <family val="2"/>
        <scheme val="minor"/>
      </rPr>
      <t>17</t>
    </r>
    <r>
      <rPr>
        <sz val="12"/>
        <color rgb="FF000000"/>
        <rFont val="Calibri"/>
        <family val="2"/>
        <scheme val="minor"/>
      </rPr>
      <t xml:space="preserve">R+ </t>
    </r>
    <r>
      <rPr>
        <vertAlign val="superscript"/>
        <sz val="12"/>
        <color rgb="FF000000"/>
        <rFont val="Calibri"/>
        <family val="2"/>
        <scheme val="minor"/>
      </rPr>
      <t>17</t>
    </r>
    <r>
      <rPr>
        <sz val="12"/>
        <color rgb="FF000000"/>
        <rFont val="Calibri"/>
        <family val="2"/>
        <scheme val="minor"/>
      </rPr>
      <t>R*</t>
    </r>
    <r>
      <rPr>
        <vertAlign val="superscript"/>
        <sz val="12"/>
        <color rgb="FF000000"/>
        <rFont val="Calibri"/>
        <family val="2"/>
        <scheme val="minor"/>
      </rPr>
      <t>17</t>
    </r>
    <r>
      <rPr>
        <sz val="12"/>
        <color rgb="FF000000"/>
        <rFont val="Calibri"/>
        <family val="2"/>
        <scheme val="minor"/>
      </rPr>
      <t>R</t>
    </r>
  </si>
  <si>
    <r>
      <t>rearranging: 0= -3*</t>
    </r>
    <r>
      <rPr>
        <vertAlign val="superscript"/>
        <sz val="12"/>
        <color rgb="FF000000"/>
        <rFont val="Calibri"/>
        <family val="2"/>
        <scheme val="minor"/>
      </rPr>
      <t>17</t>
    </r>
    <r>
      <rPr>
        <sz val="12"/>
        <color rgb="FF000000"/>
        <rFont val="Calibri"/>
        <family val="2"/>
        <scheme val="minor"/>
      </rPr>
      <t>R</t>
    </r>
    <r>
      <rPr>
        <vertAlign val="superscript"/>
        <sz val="12"/>
        <color rgb="FF000000"/>
        <rFont val="Calibri"/>
        <family val="2"/>
        <scheme val="minor"/>
      </rPr>
      <t>2</t>
    </r>
    <r>
      <rPr>
        <sz val="12"/>
        <color rgb="FF000000"/>
        <rFont val="Calibri"/>
        <family val="2"/>
        <scheme val="minor"/>
      </rPr>
      <t>+2*</t>
    </r>
    <r>
      <rPr>
        <vertAlign val="superscript"/>
        <sz val="12"/>
        <color rgb="FF000000"/>
        <rFont val="Calibri"/>
        <family val="2"/>
        <scheme val="minor"/>
      </rPr>
      <t>45</t>
    </r>
    <r>
      <rPr>
        <sz val="12"/>
        <color rgb="FF000000"/>
        <rFont val="Calibri"/>
        <family val="2"/>
        <scheme val="minor"/>
      </rPr>
      <t>R*</t>
    </r>
    <r>
      <rPr>
        <vertAlign val="superscript"/>
        <sz val="12"/>
        <color rgb="FF000000"/>
        <rFont val="Calibri"/>
        <family val="2"/>
        <scheme val="minor"/>
      </rPr>
      <t>17</t>
    </r>
    <r>
      <rPr>
        <sz val="12"/>
        <color rgb="FF000000"/>
        <rFont val="Calibri"/>
        <family val="2"/>
        <scheme val="minor"/>
      </rPr>
      <t>R+2*</t>
    </r>
    <r>
      <rPr>
        <vertAlign val="superscript"/>
        <sz val="12"/>
        <color rgb="FF000000"/>
        <rFont val="Calibri"/>
        <family val="2"/>
        <scheme val="minor"/>
      </rPr>
      <t>18</t>
    </r>
    <r>
      <rPr>
        <sz val="12"/>
        <color rgb="FF000000"/>
        <rFont val="Calibri"/>
        <family val="2"/>
        <scheme val="minor"/>
      </rPr>
      <t>R-</t>
    </r>
    <r>
      <rPr>
        <vertAlign val="superscript"/>
        <sz val="12"/>
        <color rgb="FF000000"/>
        <rFont val="Calibri"/>
        <family val="2"/>
        <scheme val="minor"/>
      </rPr>
      <t>46</t>
    </r>
    <r>
      <rPr>
        <sz val="12"/>
        <color rgb="FF000000"/>
        <rFont val="Calibri"/>
        <family val="2"/>
        <scheme val="minor"/>
      </rPr>
      <t>R</t>
    </r>
    <r>
      <rPr>
        <sz val="12"/>
        <color rgb="FF000000"/>
        <rFont val="Calibri"/>
        <family val="2"/>
        <scheme val="minor"/>
      </rPr>
      <t>=x</t>
    </r>
  </si>
  <si>
    <r>
      <t xml:space="preserve">initial </t>
    </r>
    <r>
      <rPr>
        <vertAlign val="superscript"/>
        <sz val="12"/>
        <color rgb="FF000000"/>
        <rFont val="Calibri"/>
        <family val="2"/>
        <scheme val="minor"/>
      </rPr>
      <t>18</t>
    </r>
    <r>
      <rPr>
        <sz val="12"/>
        <color rgb="FF000000"/>
        <rFont val="Calibri"/>
        <family val="2"/>
        <scheme val="minor"/>
      </rPr>
      <t xml:space="preserve">R = starting </t>
    </r>
    <r>
      <rPr>
        <vertAlign val="superscript"/>
        <sz val="12"/>
        <color rgb="FF000000"/>
        <rFont val="Calibri"/>
        <family val="2"/>
        <scheme val="minor"/>
      </rPr>
      <t>18</t>
    </r>
    <r>
      <rPr>
        <sz val="12"/>
        <color rgb="FF000000"/>
        <rFont val="Calibri"/>
        <family val="2"/>
        <scheme val="minor"/>
      </rPr>
      <t xml:space="preserve">R; can use </t>
    </r>
    <r>
      <rPr>
        <vertAlign val="superscript"/>
        <sz val="12"/>
        <color rgb="FF000000"/>
        <rFont val="Calibri"/>
        <family val="2"/>
        <scheme val="minor"/>
      </rPr>
      <t>18</t>
    </r>
    <r>
      <rPr>
        <sz val="12"/>
        <color rgb="FF000000"/>
        <rFont val="Calibri"/>
        <family val="2"/>
        <scheme val="minor"/>
      </rPr>
      <t xml:space="preserve">R(init) = </t>
    </r>
    <r>
      <rPr>
        <vertAlign val="superscript"/>
        <sz val="12"/>
        <color rgb="FF000000"/>
        <rFont val="Calibri"/>
        <family val="2"/>
        <scheme val="minor"/>
      </rPr>
      <t>46</t>
    </r>
    <r>
      <rPr>
        <sz val="12"/>
        <color rgb="FF000000"/>
        <rFont val="Calibri"/>
        <family val="2"/>
        <scheme val="minor"/>
      </rPr>
      <t>R/2.005</t>
    </r>
  </si>
  <si>
    <r>
      <t xml:space="preserve">To solve, minimize x by varying </t>
    </r>
    <r>
      <rPr>
        <vertAlign val="superscript"/>
        <sz val="12"/>
        <color rgb="FF000000"/>
        <rFont val="Calibri"/>
        <family val="2"/>
        <scheme val="minor"/>
      </rPr>
      <t>18</t>
    </r>
    <r>
      <rPr>
        <sz val="12"/>
        <color rgb="FF000000"/>
        <rFont val="Calibri"/>
        <family val="2"/>
        <scheme val="minor"/>
      </rPr>
      <t>R: using</t>
    </r>
    <r>
      <rPr>
        <b/>
        <sz val="12"/>
        <color rgb="FF000000"/>
        <rFont val="Calibri"/>
        <family val="2"/>
        <scheme val="minor"/>
      </rPr>
      <t xml:space="preserve"> </t>
    </r>
    <r>
      <rPr>
        <b/>
        <vertAlign val="superscript"/>
        <sz val="12"/>
        <color rgb="FF000000"/>
        <rFont val="Calibri"/>
        <family val="2"/>
        <scheme val="minor"/>
      </rPr>
      <t>18</t>
    </r>
    <r>
      <rPr>
        <b/>
        <sz val="12"/>
        <color rgb="FF000000"/>
        <rFont val="Calibri"/>
        <family val="2"/>
        <scheme val="minor"/>
      </rPr>
      <t>R(new)=</t>
    </r>
    <r>
      <rPr>
        <b/>
        <vertAlign val="superscript"/>
        <sz val="12"/>
        <color rgb="FF000000"/>
        <rFont val="Calibri"/>
        <family val="2"/>
        <scheme val="minor"/>
      </rPr>
      <t>18</t>
    </r>
    <r>
      <rPr>
        <b/>
        <sz val="12"/>
        <color rgb="FF000000"/>
        <rFont val="Calibri"/>
        <family val="2"/>
        <scheme val="minor"/>
      </rPr>
      <t>R(old) – x/2.0022</t>
    </r>
  </si>
  <si>
    <r>
      <rPr>
        <vertAlign val="superscript"/>
        <sz val="12"/>
        <color rgb="FF000000"/>
        <rFont val="Calibri"/>
        <family val="2"/>
        <scheme val="minor"/>
      </rPr>
      <t>47</t>
    </r>
    <r>
      <rPr>
        <sz val="12"/>
        <color rgb="FF000000"/>
        <rFont val="Calibri"/>
        <family val="2"/>
        <scheme val="minor"/>
      </rPr>
      <t>R=2*</t>
    </r>
    <r>
      <rPr>
        <vertAlign val="superscript"/>
        <sz val="12"/>
        <color rgb="FF000000"/>
        <rFont val="Calibri"/>
        <family val="2"/>
        <scheme val="minor"/>
      </rPr>
      <t>13</t>
    </r>
    <r>
      <rPr>
        <sz val="12"/>
        <color rgb="FF000000"/>
        <rFont val="Calibri"/>
        <family val="2"/>
        <scheme val="minor"/>
      </rPr>
      <t>R*</t>
    </r>
    <r>
      <rPr>
        <vertAlign val="superscript"/>
        <sz val="12"/>
        <color rgb="FF000000"/>
        <rFont val="Calibri"/>
        <family val="2"/>
        <scheme val="minor"/>
      </rPr>
      <t>18</t>
    </r>
    <r>
      <rPr>
        <sz val="12"/>
        <color rgb="FF000000"/>
        <rFont val="Calibri"/>
        <family val="2"/>
        <scheme val="minor"/>
      </rPr>
      <t>R+2*</t>
    </r>
    <r>
      <rPr>
        <vertAlign val="superscript"/>
        <sz val="12"/>
        <color rgb="FF000000"/>
        <rFont val="Calibri"/>
        <family val="2"/>
        <scheme val="minor"/>
      </rPr>
      <t>17</t>
    </r>
    <r>
      <rPr>
        <sz val="12"/>
        <color rgb="FF000000"/>
        <rFont val="Calibri"/>
        <family val="2"/>
        <scheme val="minor"/>
      </rPr>
      <t>R*</t>
    </r>
    <r>
      <rPr>
        <vertAlign val="superscript"/>
        <sz val="12"/>
        <color rgb="FF000000"/>
        <rFont val="Calibri"/>
        <family val="2"/>
        <scheme val="minor"/>
      </rPr>
      <t>18</t>
    </r>
    <r>
      <rPr>
        <sz val="12"/>
        <color rgb="FF000000"/>
        <rFont val="Calibri"/>
        <family val="2"/>
        <scheme val="minor"/>
      </rPr>
      <t>R+</t>
    </r>
    <r>
      <rPr>
        <vertAlign val="superscript"/>
        <sz val="12"/>
        <color rgb="FF000000"/>
        <rFont val="Calibri"/>
        <family val="2"/>
        <scheme val="minor"/>
      </rPr>
      <t>13</t>
    </r>
    <r>
      <rPr>
        <sz val="12"/>
        <color rgb="FF000000"/>
        <rFont val="Calibri"/>
        <family val="2"/>
        <scheme val="minor"/>
      </rPr>
      <t>R*</t>
    </r>
    <r>
      <rPr>
        <vertAlign val="superscript"/>
        <sz val="12"/>
        <color rgb="FF000000"/>
        <rFont val="Calibri"/>
        <family val="2"/>
        <scheme val="minor"/>
      </rPr>
      <t>17</t>
    </r>
    <r>
      <rPr>
        <sz val="12"/>
        <color rgb="FF000000"/>
        <rFont val="Calibri"/>
        <family val="2"/>
        <scheme val="minor"/>
      </rPr>
      <t>R*</t>
    </r>
    <r>
      <rPr>
        <vertAlign val="superscript"/>
        <sz val="12"/>
        <color rgb="FF000000"/>
        <rFont val="Calibri"/>
        <family val="2"/>
        <scheme val="minor"/>
      </rPr>
      <t>17</t>
    </r>
    <r>
      <rPr>
        <sz val="12"/>
        <color rgb="FF000000"/>
        <rFont val="Calibri"/>
        <family val="2"/>
        <scheme val="minor"/>
      </rPr>
      <t>R</t>
    </r>
  </si>
  <si>
    <r>
      <rPr>
        <sz val="11"/>
        <color theme="1"/>
        <rFont val="Calibri"/>
        <family val="2"/>
      </rPr>
      <t>δ</t>
    </r>
    <r>
      <rPr>
        <vertAlign val="superscript"/>
        <sz val="11"/>
        <color theme="1"/>
        <rFont val="Calibri"/>
        <family val="2"/>
        <scheme val="minor"/>
      </rPr>
      <t>17</t>
    </r>
    <r>
      <rPr>
        <sz val="11"/>
        <color theme="1"/>
        <rFont val="Calibri"/>
        <family val="2"/>
        <scheme val="minor"/>
      </rPr>
      <t>O</t>
    </r>
    <r>
      <rPr>
        <vertAlign val="subscript"/>
        <sz val="11"/>
        <color theme="1"/>
        <rFont val="Calibri"/>
        <family val="2"/>
        <scheme val="minor"/>
      </rPr>
      <t>VSMOW</t>
    </r>
    <r>
      <rPr>
        <sz val="11"/>
        <color theme="1"/>
        <rFont val="Calibri"/>
        <family val="2"/>
        <scheme val="minor"/>
      </rPr>
      <t xml:space="preserve"> calculated from parameter set and </t>
    </r>
    <r>
      <rPr>
        <sz val="11"/>
        <color theme="1"/>
        <rFont val="Calibri"/>
        <family val="2"/>
      </rPr>
      <t>Δ</t>
    </r>
    <r>
      <rPr>
        <vertAlign val="subscript"/>
        <sz val="11"/>
        <color theme="1"/>
        <rFont val="Calibri"/>
        <family val="2"/>
        <scheme val="minor"/>
      </rPr>
      <t>17</t>
    </r>
    <r>
      <rPr>
        <sz val="11"/>
        <color theme="1"/>
        <rFont val="Calibri"/>
        <family val="2"/>
        <scheme val="minor"/>
      </rPr>
      <t xml:space="preserve"> input effect on initial </t>
    </r>
    <r>
      <rPr>
        <vertAlign val="superscript"/>
        <sz val="11"/>
        <color theme="1"/>
        <rFont val="Calibri"/>
        <family val="2"/>
        <scheme val="minor"/>
      </rPr>
      <t>17</t>
    </r>
    <r>
      <rPr>
        <sz val="11"/>
        <color theme="1"/>
        <rFont val="Calibri"/>
        <family val="2"/>
        <scheme val="minor"/>
      </rPr>
      <t xml:space="preserve">R calculation from </t>
    </r>
    <r>
      <rPr>
        <sz val="11"/>
        <color theme="1"/>
        <rFont val="Calibri"/>
        <family val="2"/>
      </rPr>
      <t>δ</t>
    </r>
    <r>
      <rPr>
        <vertAlign val="superscript"/>
        <sz val="11"/>
        <color theme="1"/>
        <rFont val="Calibri"/>
        <family val="2"/>
        <scheme val="minor"/>
      </rPr>
      <t>18</t>
    </r>
    <r>
      <rPr>
        <sz val="11"/>
        <color theme="1"/>
        <rFont val="Calibri"/>
        <family val="2"/>
        <scheme val="minor"/>
      </rPr>
      <t>O input</t>
    </r>
  </si>
  <si>
    <t>calculated CO2 values, fractional amounts: D47 corr</t>
  </si>
  <si>
    <t>C47-D47 applied</t>
  </si>
  <si>
    <t xml:space="preserve">N.B. "single point" effect added on to "all" </t>
  </si>
  <si>
    <t>Linked to above parameter set: manually sorted on 18O--changes with changes in data set, so may need to resort</t>
  </si>
  <si>
    <r>
      <t xml:space="preserve"> -10</t>
    </r>
    <r>
      <rPr>
        <sz val="11"/>
        <color theme="1"/>
        <rFont val="Calibri"/>
        <family val="2"/>
      </rPr>
      <t>‰</t>
    </r>
    <r>
      <rPr>
        <sz val="11"/>
        <color theme="1"/>
        <rFont val="Calibri"/>
        <family val="2"/>
        <scheme val="minor"/>
      </rPr>
      <t xml:space="preserve"> </t>
    </r>
    <r>
      <rPr>
        <sz val="11"/>
        <color theme="1"/>
        <rFont val="Calibri"/>
        <family val="2"/>
      </rPr>
      <t>δ</t>
    </r>
    <r>
      <rPr>
        <vertAlign val="superscript"/>
        <sz val="11"/>
        <color theme="1"/>
        <rFont val="Calibri"/>
        <family val="2"/>
        <scheme val="minor"/>
      </rPr>
      <t>13</t>
    </r>
    <r>
      <rPr>
        <sz val="11"/>
        <color theme="1"/>
        <rFont val="Calibri"/>
        <family val="2"/>
        <scheme val="minor"/>
      </rPr>
      <t>C</t>
    </r>
  </si>
  <si>
    <r>
      <t>10</t>
    </r>
    <r>
      <rPr>
        <sz val="11"/>
        <color theme="1"/>
        <rFont val="Calibri"/>
        <family val="2"/>
      </rPr>
      <t>‰</t>
    </r>
    <r>
      <rPr>
        <sz val="11"/>
        <color theme="1"/>
        <rFont val="Calibri"/>
        <family val="2"/>
        <scheme val="minor"/>
      </rPr>
      <t xml:space="preserve"> </t>
    </r>
    <r>
      <rPr>
        <sz val="11"/>
        <color theme="1"/>
        <rFont val="Calibri"/>
        <family val="2"/>
      </rPr>
      <t>δ</t>
    </r>
    <r>
      <rPr>
        <vertAlign val="superscript"/>
        <sz val="11"/>
        <color theme="1"/>
        <rFont val="Calibri"/>
        <family val="2"/>
        <scheme val="minor"/>
      </rPr>
      <t>18</t>
    </r>
    <r>
      <rPr>
        <sz val="11"/>
        <color theme="1"/>
        <rFont val="Calibri"/>
        <family val="2"/>
        <scheme val="minor"/>
      </rPr>
      <t>O</t>
    </r>
  </si>
  <si>
    <t xml:space="preserve">ref offset: </t>
  </si>
  <si>
    <t>17O per mil from 2010</t>
  </si>
  <si>
    <t>per mil, please leave at zero</t>
  </si>
  <si>
    <t>17R/13R--note, typically done for both being VPDB-CO2, not VSMOW/VPB</t>
  </si>
  <si>
    <t>difference from 2010 IUPAC in 17R/13R space</t>
  </si>
  <si>
    <t>approx. spread in ppm D47 (after D47 vs d47 corr.)</t>
  </si>
  <si>
    <t>single point</t>
  </si>
  <si>
    <t>C17-R17hasD17</t>
  </si>
  <si>
    <t>Gonfiantini:</t>
  </si>
  <si>
    <t>VSMOW</t>
  </si>
  <si>
    <t>18/16</t>
  </si>
  <si>
    <t>17/16</t>
  </si>
  <si>
    <t>avg lambda:</t>
  </si>
  <si>
    <t>K = 17R/(18R)^lambda</t>
  </si>
  <si>
    <t xml:space="preserve">K= </t>
  </si>
  <si>
    <r>
      <t>linearity,</t>
    </r>
    <r>
      <rPr>
        <i/>
        <sz val="11"/>
        <color theme="1"/>
        <rFont val="Calibri"/>
        <family val="2"/>
        <scheme val="minor"/>
      </rPr>
      <t xml:space="preserve"> m/z </t>
    </r>
    <r>
      <rPr>
        <sz val="11"/>
        <color theme="1"/>
        <rFont val="Calibri"/>
        <family val="2"/>
        <scheme val="minor"/>
      </rPr>
      <t>45,  per mil per volt</t>
    </r>
  </si>
  <si>
    <r>
      <t xml:space="preserve">linearity, </t>
    </r>
    <r>
      <rPr>
        <i/>
        <sz val="11"/>
        <color theme="1"/>
        <rFont val="Calibri"/>
        <family val="2"/>
        <scheme val="minor"/>
      </rPr>
      <t>m/z</t>
    </r>
    <r>
      <rPr>
        <sz val="11"/>
        <color theme="1"/>
        <rFont val="Calibri"/>
        <family val="2"/>
        <scheme val="minor"/>
      </rPr>
      <t xml:space="preserve"> 46, per mil per volt</t>
    </r>
  </si>
  <si>
    <r>
      <t xml:space="preserve">linearity, </t>
    </r>
    <r>
      <rPr>
        <i/>
        <sz val="11"/>
        <color theme="1"/>
        <rFont val="Calibri"/>
        <family val="2"/>
        <scheme val="minor"/>
      </rPr>
      <t>m/z</t>
    </r>
    <r>
      <rPr>
        <sz val="11"/>
        <color theme="1"/>
        <rFont val="Calibri"/>
        <family val="2"/>
        <scheme val="minor"/>
      </rPr>
      <t xml:space="preserve"> 44, per mil per volt*</t>
    </r>
  </si>
  <si>
    <t>*shows up when working reference and samples are at different signal strengths, basically gives rise to apparent linearity shifts in the same direction for 45R and 46R</t>
  </si>
  <si>
    <t>Linearity and relative isotopologue absolute abundances</t>
  </si>
  <si>
    <t>(default is 0)</t>
  </si>
  <si>
    <t>m/z 44:</t>
  </si>
  <si>
    <t>not applicable</t>
  </si>
  <si>
    <t>absolute abundances</t>
  </si>
  <si>
    <t>(default is 1)</t>
  </si>
  <si>
    <t>relative to major isotopologue</t>
  </si>
  <si>
    <t xml:space="preserve">  </t>
  </si>
  <si>
    <t>n/a</t>
  </si>
  <si>
    <t>n/a*</t>
  </si>
  <si>
    <t>* not applicable, only one isotopologue present</t>
  </si>
  <si>
    <r>
      <t xml:space="preserve">linearity, </t>
    </r>
    <r>
      <rPr>
        <i/>
        <sz val="11"/>
        <color theme="1"/>
        <rFont val="Calibri"/>
        <family val="2"/>
        <scheme val="minor"/>
      </rPr>
      <t xml:space="preserve">m/z </t>
    </r>
    <r>
      <rPr>
        <sz val="11"/>
        <color theme="1"/>
        <rFont val="Calibri"/>
        <family val="2"/>
        <scheme val="minor"/>
      </rPr>
      <t>47, per mil per volt</t>
    </r>
  </si>
  <si>
    <t>with offset</t>
  </si>
  <si>
    <t>per mil per mV (divide input by 1000)</t>
  </si>
  <si>
    <t>m/z 44 offset: sample from working reference:</t>
  </si>
  <si>
    <t>use in conjunction with linearity, see below</t>
  </si>
  <si>
    <t>Versions: #5</t>
  </si>
  <si>
    <t>same for single point</t>
  </si>
  <si>
    <t>Can now run "samples" offset from working reference in terms of mV.  That is, the maximum signal is shifted when calculated mV readings for samples</t>
  </si>
  <si>
    <t>Relative absolute abundances for isotopologues added.</t>
  </si>
  <si>
    <t>The other minor isotopologues are not affected by the input value, i.e. same absolute abundance as main isotopologue</t>
  </si>
  <si>
    <t>Difference used to calculate per mil offset in reading</t>
  </si>
  <si>
    <t xml:space="preserve">Per mill offset then aplied to the entire mV value, not just the difference. </t>
  </si>
  <si>
    <r>
      <t>Version 4 was double adding Δ</t>
    </r>
    <r>
      <rPr>
        <vertAlign val="subscript"/>
        <sz val="11"/>
        <color theme="1"/>
        <rFont val="Calibri"/>
        <family val="2"/>
        <scheme val="minor"/>
      </rPr>
      <t>17</t>
    </r>
    <r>
      <rPr>
        <sz val="11"/>
        <color theme="1"/>
        <rFont val="Calibri"/>
        <family val="2"/>
        <scheme val="minor"/>
      </rPr>
      <t>, fixed in Version 5.  See "full model" columns F and N</t>
    </r>
  </si>
  <si>
    <r>
      <t xml:space="preserve">Linearity effect added.  As per mil per volt change for </t>
    </r>
    <r>
      <rPr>
        <vertAlign val="superscript"/>
        <sz val="11"/>
        <color theme="1"/>
        <rFont val="Calibri"/>
        <family val="2"/>
        <scheme val="minor"/>
      </rPr>
      <t>45</t>
    </r>
    <r>
      <rPr>
        <sz val="11"/>
        <color theme="1"/>
        <rFont val="Calibri"/>
        <family val="2"/>
        <scheme val="minor"/>
      </rPr>
      <t xml:space="preserve">R, </t>
    </r>
    <r>
      <rPr>
        <vertAlign val="superscript"/>
        <sz val="11"/>
        <color theme="1"/>
        <rFont val="Calibri"/>
        <family val="2"/>
        <scheme val="minor"/>
      </rPr>
      <t>46</t>
    </r>
    <r>
      <rPr>
        <sz val="11"/>
        <color theme="1"/>
        <rFont val="Calibri"/>
        <family val="2"/>
        <scheme val="minor"/>
      </rPr>
      <t xml:space="preserve">R and </t>
    </r>
    <r>
      <rPr>
        <vertAlign val="superscript"/>
        <sz val="11"/>
        <color theme="1"/>
        <rFont val="Calibri"/>
        <family val="2"/>
        <scheme val="minor"/>
      </rPr>
      <t>47</t>
    </r>
    <r>
      <rPr>
        <sz val="11"/>
        <color theme="1"/>
        <rFont val="Calibri"/>
        <family val="2"/>
        <scheme val="minor"/>
      </rPr>
      <t xml:space="preserve">R; also for </t>
    </r>
    <r>
      <rPr>
        <i/>
        <sz val="11"/>
        <color theme="1"/>
        <rFont val="Calibri"/>
        <family val="2"/>
        <scheme val="minor"/>
      </rPr>
      <t>m/z</t>
    </r>
    <r>
      <rPr>
        <sz val="11"/>
        <color theme="1"/>
        <rFont val="Calibri"/>
        <family val="2"/>
        <scheme val="minor"/>
      </rPr>
      <t xml:space="preserve"> 44</t>
    </r>
  </si>
  <si>
    <r>
      <t xml:space="preserve">Changes in response of </t>
    </r>
    <r>
      <rPr>
        <i/>
        <sz val="11"/>
        <color theme="1"/>
        <rFont val="Calibri"/>
        <family val="2"/>
        <scheme val="minor"/>
      </rPr>
      <t>m/z</t>
    </r>
    <r>
      <rPr>
        <sz val="11"/>
        <color theme="1"/>
        <rFont val="Calibri"/>
        <family val="2"/>
        <scheme val="minor"/>
      </rPr>
      <t xml:space="preserve"> 44 noticeable when samples are offset in mV from working reference, gives rise to apparent linearity in </t>
    </r>
    <r>
      <rPr>
        <vertAlign val="superscript"/>
        <sz val="11"/>
        <color theme="1"/>
        <rFont val="Calibri"/>
        <family val="2"/>
        <scheme val="minor"/>
      </rPr>
      <t>45</t>
    </r>
    <r>
      <rPr>
        <sz val="11"/>
        <color theme="1"/>
        <rFont val="Calibri"/>
        <family val="2"/>
        <scheme val="minor"/>
      </rPr>
      <t xml:space="preserve">R and </t>
    </r>
    <r>
      <rPr>
        <vertAlign val="superscript"/>
        <sz val="11"/>
        <color theme="1"/>
        <rFont val="Calibri"/>
        <family val="2"/>
        <scheme val="minor"/>
      </rPr>
      <t>46</t>
    </r>
    <r>
      <rPr>
        <sz val="11"/>
        <color theme="1"/>
        <rFont val="Calibri"/>
        <family val="2"/>
        <scheme val="minor"/>
      </rPr>
      <t xml:space="preserve">R if calculated from changes seen, e.g. </t>
    </r>
    <r>
      <rPr>
        <vertAlign val="superscript"/>
        <sz val="11"/>
        <color theme="1"/>
        <rFont val="Calibri"/>
        <family val="2"/>
        <scheme val="minor"/>
      </rPr>
      <t>13</t>
    </r>
    <r>
      <rPr>
        <sz val="11"/>
        <color theme="1"/>
        <rFont val="Calibri"/>
        <family val="2"/>
        <scheme val="minor"/>
      </rPr>
      <t xml:space="preserve">C and </t>
    </r>
    <r>
      <rPr>
        <vertAlign val="superscript"/>
        <sz val="11"/>
        <color theme="1"/>
        <rFont val="Calibri"/>
        <family val="2"/>
        <scheme val="minor"/>
      </rPr>
      <t>18</t>
    </r>
    <r>
      <rPr>
        <sz val="11"/>
        <color theme="1"/>
        <rFont val="Calibri"/>
        <family val="2"/>
        <scheme val="minor"/>
      </rPr>
      <t>O, when running at different offsets</t>
    </r>
  </si>
  <si>
    <r>
      <t xml:space="preserve">Calculated from mV difference from reference for </t>
    </r>
    <r>
      <rPr>
        <i/>
        <sz val="11"/>
        <color theme="1"/>
        <rFont val="Calibri"/>
        <family val="2"/>
        <scheme val="minor"/>
      </rPr>
      <t>m/z</t>
    </r>
    <r>
      <rPr>
        <sz val="11"/>
        <color theme="1"/>
        <rFont val="Calibri"/>
        <family val="2"/>
        <scheme val="minor"/>
      </rPr>
      <t xml:space="preserve"> 44, 45, 46 and 47</t>
    </r>
  </si>
  <si>
    <r>
      <t xml:space="preserve">Large </t>
    </r>
    <r>
      <rPr>
        <vertAlign val="superscript"/>
        <sz val="11"/>
        <color theme="1"/>
        <rFont val="Calibri"/>
        <family val="2"/>
        <scheme val="minor"/>
      </rPr>
      <t>13</t>
    </r>
    <r>
      <rPr>
        <sz val="11"/>
        <color theme="1"/>
        <rFont val="Calibri"/>
        <family val="2"/>
        <scheme val="minor"/>
      </rPr>
      <t xml:space="preserve">C or </t>
    </r>
    <r>
      <rPr>
        <vertAlign val="superscript"/>
        <sz val="11"/>
        <color theme="1"/>
        <rFont val="Calibri"/>
        <family val="2"/>
        <scheme val="minor"/>
      </rPr>
      <t>18</t>
    </r>
    <r>
      <rPr>
        <sz val="11"/>
        <color theme="1"/>
        <rFont val="Calibri"/>
        <family val="2"/>
        <scheme val="minor"/>
      </rPr>
      <t xml:space="preserve">O differences from the reference also gives rise to significant difference in </t>
    </r>
    <r>
      <rPr>
        <i/>
        <sz val="11"/>
        <color theme="1"/>
        <rFont val="Calibri"/>
        <family val="2"/>
        <scheme val="minor"/>
      </rPr>
      <t>m/z</t>
    </r>
    <r>
      <rPr>
        <sz val="11"/>
        <color theme="1"/>
        <rFont val="Calibri"/>
        <family val="2"/>
        <scheme val="minor"/>
      </rPr>
      <t xml:space="preserve"> 45 and </t>
    </r>
    <r>
      <rPr>
        <i/>
        <sz val="11"/>
        <color theme="1"/>
        <rFont val="Calibri"/>
        <family val="2"/>
        <scheme val="minor"/>
      </rPr>
      <t>m/z</t>
    </r>
    <r>
      <rPr>
        <sz val="11"/>
        <color theme="1"/>
        <rFont val="Calibri"/>
        <family val="2"/>
        <scheme val="minor"/>
      </rPr>
      <t xml:space="preserve"> 46</t>
    </r>
  </si>
  <si>
    <r>
      <t xml:space="preserve">Linearity effect will also show up here even though </t>
    </r>
    <r>
      <rPr>
        <i/>
        <sz val="11"/>
        <color theme="1"/>
        <rFont val="Calibri"/>
        <family val="2"/>
        <scheme val="minor"/>
      </rPr>
      <t>m/z</t>
    </r>
    <r>
      <rPr>
        <sz val="11"/>
        <color theme="1"/>
        <rFont val="Calibri"/>
        <family val="2"/>
        <scheme val="minor"/>
      </rPr>
      <t xml:space="preserve"> 44 mV very close</t>
    </r>
  </si>
  <si>
    <r>
      <t xml:space="preserve">Different </t>
    </r>
    <r>
      <rPr>
        <i/>
        <sz val="11"/>
        <color theme="1"/>
        <rFont val="Calibri"/>
        <family val="2"/>
        <scheme val="minor"/>
      </rPr>
      <t>m/z</t>
    </r>
    <r>
      <rPr>
        <sz val="11"/>
        <color theme="1"/>
        <rFont val="Calibri"/>
        <family val="2"/>
        <scheme val="minor"/>
      </rPr>
      <t xml:space="preserve"> readings comprised of different isotopologues.  </t>
    </r>
  </si>
  <si>
    <r>
      <t xml:space="preserve">Only one isotopologue for </t>
    </r>
    <r>
      <rPr>
        <i/>
        <sz val="11"/>
        <color theme="1"/>
        <rFont val="Calibri"/>
        <family val="2"/>
        <scheme val="minor"/>
      </rPr>
      <t>m/z</t>
    </r>
    <r>
      <rPr>
        <sz val="11"/>
        <color theme="1"/>
        <rFont val="Calibri"/>
        <family val="2"/>
        <scheme val="minor"/>
      </rPr>
      <t xml:space="preserve"> 44</t>
    </r>
  </si>
  <si>
    <r>
      <t xml:space="preserve">Value typed in is for relative absolute abundance for largest minor isotopologue compared to main isotopologue at given </t>
    </r>
    <r>
      <rPr>
        <i/>
        <sz val="11"/>
        <color theme="1"/>
        <rFont val="Calibri"/>
        <family val="2"/>
        <scheme val="minor"/>
      </rPr>
      <t>m/z</t>
    </r>
    <r>
      <rPr>
        <sz val="11"/>
        <color theme="1"/>
        <rFont val="Calibri"/>
        <family val="2"/>
        <scheme val="minor"/>
      </rPr>
      <t xml:space="preserve"> </t>
    </r>
  </si>
  <si>
    <r>
      <t xml:space="preserve">The minor isotopologues only above 1% of signal only for </t>
    </r>
    <r>
      <rPr>
        <i/>
        <sz val="11"/>
        <color theme="1"/>
        <rFont val="Calibri"/>
        <family val="2"/>
        <scheme val="minor"/>
      </rPr>
      <t>m/z</t>
    </r>
    <r>
      <rPr>
        <sz val="11"/>
        <color theme="1"/>
        <rFont val="Calibri"/>
        <family val="2"/>
        <scheme val="minor"/>
      </rPr>
      <t xml:space="preserve"> 45 and 47 at natural abundance levels</t>
    </r>
  </si>
  <si>
    <t>If relative absolute abundances set to 1, all are equal; if &lt;1, then minor isotopologue contributes less; more if value &gt;1.</t>
  </si>
  <si>
    <r>
      <t>This is for what is in the main CO</t>
    </r>
    <r>
      <rPr>
        <vertAlign val="subscript"/>
        <sz val="11"/>
        <color theme="1"/>
        <rFont val="Calibri"/>
        <family val="2"/>
        <scheme val="minor"/>
      </rPr>
      <t>2</t>
    </r>
    <r>
      <rPr>
        <sz val="11"/>
        <color theme="1"/>
        <rFont val="Calibri"/>
        <family val="2"/>
        <scheme val="minor"/>
      </rPr>
      <t xml:space="preserve"> signal, not the breakdown products.</t>
    </r>
  </si>
  <si>
    <r>
      <t>About 10 to 20% of the ions are from the CO</t>
    </r>
    <r>
      <rPr>
        <vertAlign val="subscript"/>
        <sz val="11"/>
        <color theme="1"/>
        <rFont val="Calibri"/>
        <family val="2"/>
        <scheme val="minor"/>
      </rPr>
      <t>2</t>
    </r>
    <r>
      <rPr>
        <sz val="11"/>
        <color theme="1"/>
        <rFont val="Calibri"/>
        <family val="2"/>
        <scheme val="minor"/>
      </rPr>
      <t xml:space="preserve"> ions breaking down, giving rise to CO, C and O</t>
    </r>
  </si>
  <si>
    <r>
      <t>Studies on N</t>
    </r>
    <r>
      <rPr>
        <vertAlign val="subscript"/>
        <sz val="11"/>
        <color theme="1"/>
        <rFont val="Calibri"/>
        <family val="2"/>
        <scheme val="minor"/>
      </rPr>
      <t>2</t>
    </r>
    <r>
      <rPr>
        <sz val="11"/>
        <color theme="1"/>
        <rFont val="Calibri"/>
        <family val="2"/>
        <scheme val="minor"/>
      </rPr>
      <t>O looking at NO formed in the source show apparent differnces in the isotopic ratios in the breakdown product dependent on source conditions.</t>
    </r>
  </si>
  <si>
    <t xml:space="preserve">Westley, M. B., B. N. Popp, and T. M. Rust (2007), The calibration of the intramolecular nitrogen isotope distribution in nitrous oxide measured by isotope ratio mass spectrometry, Rapid Commun. Mass Spectrom., 21(3), 391–405, doi:10.1002/rcm.2828.
</t>
  </si>
  <si>
    <t>ref gas offset--if true value different from label</t>
  </si>
  <si>
    <r>
      <t>linearity,</t>
    </r>
    <r>
      <rPr>
        <i/>
        <sz val="11"/>
        <color theme="1"/>
        <rFont val="Calibri"/>
        <family val="2"/>
        <scheme val="minor"/>
      </rPr>
      <t xml:space="preserve"> m/z </t>
    </r>
    <r>
      <rPr>
        <sz val="11"/>
        <color theme="1"/>
        <rFont val="Calibri"/>
        <family val="2"/>
        <scheme val="minor"/>
      </rPr>
      <t>45, per mil per volt</t>
    </r>
  </si>
  <si>
    <t>Linearity--on all cups</t>
  </si>
  <si>
    <r>
      <t xml:space="preserve">per shift in </t>
    </r>
    <r>
      <rPr>
        <vertAlign val="superscript"/>
        <sz val="11"/>
        <color theme="1"/>
        <rFont val="Calibri"/>
        <family val="2"/>
        <scheme val="minor"/>
      </rPr>
      <t>45</t>
    </r>
    <r>
      <rPr>
        <sz val="11"/>
        <color theme="1"/>
        <rFont val="Calibri"/>
        <family val="2"/>
        <scheme val="minor"/>
      </rPr>
      <t xml:space="preserve">R, </t>
    </r>
    <r>
      <rPr>
        <vertAlign val="superscript"/>
        <sz val="11"/>
        <color theme="1"/>
        <rFont val="Calibri"/>
        <family val="2"/>
        <scheme val="minor"/>
      </rPr>
      <t>46</t>
    </r>
    <r>
      <rPr>
        <sz val="11"/>
        <color theme="1"/>
        <rFont val="Calibri"/>
        <family val="2"/>
        <scheme val="minor"/>
      </rPr>
      <t xml:space="preserve">R, </t>
    </r>
    <r>
      <rPr>
        <vertAlign val="superscript"/>
        <sz val="11"/>
        <color theme="1"/>
        <rFont val="Calibri"/>
        <family val="2"/>
        <scheme val="minor"/>
      </rPr>
      <t>47</t>
    </r>
    <r>
      <rPr>
        <sz val="11"/>
        <color theme="1"/>
        <rFont val="Calibri"/>
        <family val="2"/>
        <scheme val="minor"/>
      </rPr>
      <t xml:space="preserve">R and in </t>
    </r>
    <r>
      <rPr>
        <i/>
        <sz val="11"/>
        <color theme="1"/>
        <rFont val="Calibri"/>
        <family val="2"/>
        <scheme val="minor"/>
      </rPr>
      <t xml:space="preserve">m/z </t>
    </r>
    <r>
      <rPr>
        <sz val="11"/>
        <color theme="1"/>
        <rFont val="Calibri"/>
        <family val="2"/>
        <scheme val="minor"/>
      </rPr>
      <t>44 response with increase in signal; type it in as per mil per volt.</t>
    </r>
  </si>
  <si>
    <t>typically measured by increasing gas pressure and looking at per shifts vs voltage on m/z 44; here calculated on change in voltage from ref gas values per m/z</t>
  </si>
  <si>
    <t>The change in response on m/z 44 shows up as apparent linearity in the other cups if amplitude changed from ref gas.</t>
  </si>
  <si>
    <r>
      <t>Δ</t>
    </r>
    <r>
      <rPr>
        <vertAlign val="subscript"/>
        <sz val="11"/>
        <color theme="1"/>
        <rFont val="Calibri"/>
        <family val="2"/>
        <scheme val="minor"/>
      </rPr>
      <t>47</t>
    </r>
    <r>
      <rPr>
        <sz val="11"/>
        <color theme="1"/>
        <rFont val="Calibri"/>
        <family val="2"/>
        <scheme val="minor"/>
      </rPr>
      <t xml:space="preserve"> input modifies m47 signal, effects </t>
    </r>
    <r>
      <rPr>
        <sz val="11"/>
        <color theme="1"/>
        <rFont val="Calibri"/>
        <family val="2"/>
      </rPr>
      <t>δ</t>
    </r>
    <r>
      <rPr>
        <vertAlign val="superscript"/>
        <sz val="11"/>
        <color theme="1"/>
        <rFont val="Calibri"/>
        <family val="2"/>
        <scheme val="minor"/>
      </rPr>
      <t>47</t>
    </r>
    <r>
      <rPr>
        <sz val="11"/>
        <color theme="1"/>
        <rFont val="Calibri"/>
        <family val="2"/>
        <scheme val="minor"/>
      </rPr>
      <t xml:space="preserve">  and </t>
    </r>
    <r>
      <rPr>
        <sz val="11"/>
        <color theme="1"/>
        <rFont val="Calibri"/>
        <family val="2"/>
      </rPr>
      <t>Δ</t>
    </r>
    <r>
      <rPr>
        <vertAlign val="subscript"/>
        <sz val="11"/>
        <color theme="1"/>
        <rFont val="Calibri"/>
        <family val="2"/>
      </rPr>
      <t>47</t>
    </r>
    <r>
      <rPr>
        <sz val="11"/>
        <color theme="1"/>
        <rFont val="Calibri"/>
        <family val="2"/>
      </rPr>
      <t xml:space="preserve"> </t>
    </r>
    <r>
      <rPr>
        <sz val="11"/>
        <color theme="1"/>
        <rFont val="Calibri"/>
        <family val="2"/>
        <scheme val="minor"/>
      </rPr>
      <t>, effect of excess on m/z 45 and 46 also determined--excess Δ</t>
    </r>
    <r>
      <rPr>
        <vertAlign val="subscript"/>
        <sz val="11"/>
        <color theme="1"/>
        <rFont val="Calibri"/>
        <family val="2"/>
        <scheme val="minor"/>
      </rPr>
      <t>47</t>
    </r>
    <r>
      <rPr>
        <sz val="11"/>
        <color theme="1"/>
        <rFont val="Calibri"/>
        <family val="2"/>
        <scheme val="minor"/>
      </rPr>
      <t xml:space="preserve"> means less </t>
    </r>
    <r>
      <rPr>
        <vertAlign val="superscript"/>
        <sz val="11"/>
        <color theme="1"/>
        <rFont val="Calibri"/>
        <family val="2"/>
        <scheme val="minor"/>
      </rPr>
      <t>13</t>
    </r>
    <r>
      <rPr>
        <sz val="11"/>
        <color theme="1"/>
        <rFont val="Calibri"/>
        <family val="2"/>
        <scheme val="minor"/>
      </rPr>
      <t xml:space="preserve">C and </t>
    </r>
    <r>
      <rPr>
        <vertAlign val="superscript"/>
        <sz val="11"/>
        <color theme="1"/>
        <rFont val="Calibri"/>
        <family val="2"/>
        <scheme val="minor"/>
      </rPr>
      <t>18</t>
    </r>
    <r>
      <rPr>
        <sz val="11"/>
        <color theme="1"/>
        <rFont val="Calibri"/>
        <family val="2"/>
        <scheme val="minor"/>
      </rPr>
      <t xml:space="preserve">O for </t>
    </r>
    <r>
      <rPr>
        <i/>
        <sz val="11"/>
        <color theme="1"/>
        <rFont val="Calibri"/>
        <family val="2"/>
        <scheme val="minor"/>
      </rPr>
      <t xml:space="preserve">m/z </t>
    </r>
    <r>
      <rPr>
        <sz val="11"/>
        <color theme="1"/>
        <rFont val="Calibri"/>
        <family val="2"/>
        <scheme val="minor"/>
      </rPr>
      <t>45 and 46</t>
    </r>
  </si>
  <si>
    <r>
      <t>treating Δ</t>
    </r>
    <r>
      <rPr>
        <vertAlign val="subscript"/>
        <sz val="11"/>
        <color theme="1"/>
        <rFont val="Calibri"/>
        <family val="2"/>
        <scheme val="minor"/>
      </rPr>
      <t>47</t>
    </r>
    <r>
      <rPr>
        <sz val="11"/>
        <color theme="1"/>
        <rFont val="Calibri"/>
        <family val="2"/>
        <scheme val="minor"/>
      </rPr>
      <t xml:space="preserve">  as solely due to </t>
    </r>
    <r>
      <rPr>
        <vertAlign val="superscript"/>
        <sz val="11"/>
        <color theme="1"/>
        <rFont val="Calibri"/>
        <family val="2"/>
        <scheme val="minor"/>
      </rPr>
      <t>13</t>
    </r>
    <r>
      <rPr>
        <sz val="11"/>
        <color theme="1"/>
        <rFont val="Calibri"/>
        <family val="2"/>
        <scheme val="minor"/>
      </rPr>
      <t>C-</t>
    </r>
    <r>
      <rPr>
        <vertAlign val="superscript"/>
        <sz val="11"/>
        <color theme="1"/>
        <rFont val="Calibri"/>
        <family val="2"/>
        <scheme val="minor"/>
      </rPr>
      <t>18</t>
    </r>
    <r>
      <rPr>
        <sz val="11"/>
        <color theme="1"/>
        <rFont val="Calibri"/>
        <family val="2"/>
        <scheme val="minor"/>
      </rPr>
      <t xml:space="preserve">O, and not accounting for trivial effects on </t>
    </r>
    <r>
      <rPr>
        <vertAlign val="superscript"/>
        <sz val="11"/>
        <color theme="1"/>
        <rFont val="Calibri"/>
        <family val="2"/>
        <scheme val="minor"/>
      </rPr>
      <t>16</t>
    </r>
    <r>
      <rPr>
        <sz val="11"/>
        <color theme="1"/>
        <rFont val="Calibri"/>
        <family val="2"/>
        <scheme val="minor"/>
      </rPr>
      <t>O</t>
    </r>
  </si>
  <si>
    <t>Does not model fractionation factors, but can be modified as needed</t>
  </si>
  <si>
    <r>
      <t xml:space="preserve">Isotopologues: relative absolute abundances </t>
    </r>
    <r>
      <rPr>
        <i/>
        <sz val="11"/>
        <color theme="1"/>
        <rFont val="Calibri"/>
        <family val="2"/>
        <scheme val="minor"/>
      </rPr>
      <t>m/z</t>
    </r>
    <r>
      <rPr>
        <sz val="11"/>
        <color theme="1"/>
        <rFont val="Calibri"/>
        <family val="2"/>
        <scheme val="minor"/>
      </rPr>
      <t xml:space="preserve"> 45, 46 and 47</t>
    </r>
  </si>
  <si>
    <t>All isotopologues at a given m/z value are generally assumed to have the same absolute abundances in calculations.</t>
  </si>
  <si>
    <t>A value of 1 means all are the same; 0.99 means the minor one has an absolute abundance that is 99% of the major one; 1.01 means the minor one is at 101% of the major one.</t>
  </si>
  <si>
    <t>m/z 45</t>
  </si>
  <si>
    <t>m/z 46</t>
  </si>
  <si>
    <t>m/z</t>
  </si>
  <si>
    <t>main  isotopologue</t>
  </si>
  <si>
    <t>minor, largest one</t>
  </si>
  <si>
    <t>other components--not adjusted</t>
  </si>
  <si>
    <r>
      <rPr>
        <b/>
        <vertAlign val="superscript"/>
        <sz val="11"/>
        <color theme="1"/>
        <rFont val="Calibri"/>
        <family val="2"/>
        <scheme val="minor"/>
      </rPr>
      <t>18</t>
    </r>
    <r>
      <rPr>
        <b/>
        <sz val="11"/>
        <color theme="1"/>
        <rFont val="Calibri"/>
        <family val="2"/>
        <scheme val="minor"/>
      </rPr>
      <t>O</t>
    </r>
    <r>
      <rPr>
        <vertAlign val="superscript"/>
        <sz val="11"/>
        <color theme="1"/>
        <rFont val="Calibri"/>
        <family val="2"/>
        <scheme val="minor"/>
      </rPr>
      <t>12</t>
    </r>
    <r>
      <rPr>
        <sz val="11"/>
        <color theme="1"/>
        <rFont val="Calibri"/>
        <family val="2"/>
        <scheme val="minor"/>
      </rPr>
      <t>C</t>
    </r>
    <r>
      <rPr>
        <vertAlign val="superscript"/>
        <sz val="11"/>
        <color theme="1"/>
        <rFont val="Calibri"/>
        <family val="2"/>
        <scheme val="minor"/>
      </rPr>
      <t>16</t>
    </r>
    <r>
      <rPr>
        <sz val="11"/>
        <color theme="1"/>
        <rFont val="Calibri"/>
        <family val="2"/>
        <scheme val="minor"/>
      </rPr>
      <t>O</t>
    </r>
  </si>
  <si>
    <r>
      <rPr>
        <vertAlign val="superscript"/>
        <sz val="11"/>
        <color theme="1"/>
        <rFont val="Calibri"/>
        <family val="2"/>
        <scheme val="minor"/>
      </rPr>
      <t>16</t>
    </r>
    <r>
      <rPr>
        <sz val="11"/>
        <color theme="1"/>
        <rFont val="Calibri"/>
        <family val="2"/>
        <scheme val="minor"/>
      </rPr>
      <t>O</t>
    </r>
    <r>
      <rPr>
        <b/>
        <vertAlign val="superscript"/>
        <sz val="11"/>
        <color theme="1"/>
        <rFont val="Calibri"/>
        <family val="2"/>
        <scheme val="minor"/>
      </rPr>
      <t>13</t>
    </r>
    <r>
      <rPr>
        <b/>
        <sz val="11"/>
        <color theme="1"/>
        <rFont val="Calibri"/>
        <family val="2"/>
        <scheme val="minor"/>
      </rPr>
      <t>C</t>
    </r>
    <r>
      <rPr>
        <vertAlign val="superscript"/>
        <sz val="11"/>
        <color theme="1"/>
        <rFont val="Calibri"/>
        <family val="2"/>
        <scheme val="minor"/>
      </rPr>
      <t>16</t>
    </r>
    <r>
      <rPr>
        <sz val="11"/>
        <color theme="1"/>
        <rFont val="Calibri"/>
        <family val="2"/>
        <scheme val="minor"/>
      </rPr>
      <t>O</t>
    </r>
  </si>
  <si>
    <t>m/z 47</t>
  </si>
  <si>
    <r>
      <rPr>
        <b/>
        <vertAlign val="superscript"/>
        <sz val="11"/>
        <color theme="1"/>
        <rFont val="Calibri"/>
        <family val="2"/>
        <scheme val="minor"/>
      </rPr>
      <t>18</t>
    </r>
    <r>
      <rPr>
        <b/>
        <sz val="11"/>
        <color theme="1"/>
        <rFont val="Calibri"/>
        <family val="2"/>
        <scheme val="minor"/>
      </rPr>
      <t>O</t>
    </r>
    <r>
      <rPr>
        <b/>
        <vertAlign val="superscript"/>
        <sz val="11"/>
        <color theme="1"/>
        <rFont val="Calibri"/>
        <family val="2"/>
        <scheme val="minor"/>
      </rPr>
      <t>13</t>
    </r>
    <r>
      <rPr>
        <b/>
        <sz val="11"/>
        <color theme="1"/>
        <rFont val="Calibri"/>
        <family val="2"/>
        <scheme val="minor"/>
      </rPr>
      <t>C</t>
    </r>
    <r>
      <rPr>
        <vertAlign val="superscript"/>
        <sz val="11"/>
        <color theme="1"/>
        <rFont val="Calibri"/>
        <family val="2"/>
        <scheme val="minor"/>
      </rPr>
      <t>16</t>
    </r>
    <r>
      <rPr>
        <sz val="11"/>
        <color theme="1"/>
        <rFont val="Calibri"/>
        <family val="2"/>
        <scheme val="minor"/>
      </rPr>
      <t>O</t>
    </r>
  </si>
  <si>
    <r>
      <rPr>
        <b/>
        <vertAlign val="superscript"/>
        <sz val="11"/>
        <color theme="1"/>
        <rFont val="Calibri"/>
        <family val="2"/>
        <scheme val="minor"/>
      </rPr>
      <t>17</t>
    </r>
    <r>
      <rPr>
        <b/>
        <sz val="11"/>
        <color theme="1"/>
        <rFont val="Calibri"/>
        <family val="2"/>
        <scheme val="minor"/>
      </rPr>
      <t>O</t>
    </r>
    <r>
      <rPr>
        <vertAlign val="superscript"/>
        <sz val="11"/>
        <color theme="1"/>
        <rFont val="Calibri"/>
        <family val="2"/>
        <scheme val="minor"/>
      </rPr>
      <t>12</t>
    </r>
    <r>
      <rPr>
        <sz val="11"/>
        <color theme="1"/>
        <rFont val="Calibri"/>
        <family val="2"/>
        <scheme val="minor"/>
      </rPr>
      <t>C</t>
    </r>
    <r>
      <rPr>
        <vertAlign val="superscript"/>
        <sz val="11"/>
        <color theme="1"/>
        <rFont val="Calibri"/>
        <family val="2"/>
        <scheme val="minor"/>
      </rPr>
      <t>16</t>
    </r>
    <r>
      <rPr>
        <sz val="11"/>
        <color theme="1"/>
        <rFont val="Calibri"/>
        <family val="2"/>
        <scheme val="minor"/>
      </rPr>
      <t>O</t>
    </r>
  </si>
  <si>
    <r>
      <rPr>
        <b/>
        <vertAlign val="superscript"/>
        <sz val="11"/>
        <color theme="1"/>
        <rFont val="Calibri"/>
        <family val="2"/>
        <scheme val="minor"/>
      </rPr>
      <t>17</t>
    </r>
    <r>
      <rPr>
        <b/>
        <sz val="11"/>
        <color theme="1"/>
        <rFont val="Calibri"/>
        <family val="2"/>
        <scheme val="minor"/>
      </rPr>
      <t>O</t>
    </r>
    <r>
      <rPr>
        <b/>
        <vertAlign val="superscript"/>
        <sz val="11"/>
        <color theme="1"/>
        <rFont val="Calibri"/>
        <family val="2"/>
        <scheme val="minor"/>
      </rPr>
      <t>13</t>
    </r>
    <r>
      <rPr>
        <b/>
        <sz val="11"/>
        <color theme="1"/>
        <rFont val="Calibri"/>
        <family val="2"/>
        <scheme val="minor"/>
      </rPr>
      <t>C</t>
    </r>
    <r>
      <rPr>
        <vertAlign val="superscript"/>
        <sz val="11"/>
        <color theme="1"/>
        <rFont val="Calibri"/>
        <family val="2"/>
        <scheme val="minor"/>
      </rPr>
      <t>16</t>
    </r>
    <r>
      <rPr>
        <sz val="11"/>
        <color theme="1"/>
        <rFont val="Calibri"/>
        <family val="2"/>
        <scheme val="minor"/>
      </rPr>
      <t>O</t>
    </r>
  </si>
  <si>
    <r>
      <rPr>
        <b/>
        <vertAlign val="superscript"/>
        <sz val="11"/>
        <color theme="1"/>
        <rFont val="Calibri"/>
        <family val="2"/>
        <scheme val="minor"/>
      </rPr>
      <t>17</t>
    </r>
    <r>
      <rPr>
        <b/>
        <sz val="11"/>
        <color theme="1"/>
        <rFont val="Calibri"/>
        <family val="2"/>
        <scheme val="minor"/>
      </rPr>
      <t>O</t>
    </r>
    <r>
      <rPr>
        <vertAlign val="superscript"/>
        <sz val="11"/>
        <color theme="1"/>
        <rFont val="Calibri"/>
        <family val="2"/>
        <scheme val="minor"/>
      </rPr>
      <t>12</t>
    </r>
    <r>
      <rPr>
        <sz val="11"/>
        <color theme="1"/>
        <rFont val="Calibri"/>
        <family val="2"/>
        <scheme val="minor"/>
      </rPr>
      <t>C</t>
    </r>
    <r>
      <rPr>
        <b/>
        <vertAlign val="superscript"/>
        <sz val="11"/>
        <color theme="1"/>
        <rFont val="Calibri"/>
        <family val="2"/>
        <scheme val="minor"/>
      </rPr>
      <t>18</t>
    </r>
    <r>
      <rPr>
        <b/>
        <sz val="11"/>
        <color theme="1"/>
        <rFont val="Calibri"/>
        <family val="2"/>
        <scheme val="minor"/>
      </rPr>
      <t>O</t>
    </r>
  </si>
  <si>
    <r>
      <rPr>
        <b/>
        <vertAlign val="superscript"/>
        <sz val="11"/>
        <color theme="1"/>
        <rFont val="Calibri"/>
        <family val="2"/>
        <scheme val="minor"/>
      </rPr>
      <t>17</t>
    </r>
    <r>
      <rPr>
        <b/>
        <sz val="11"/>
        <color theme="1"/>
        <rFont val="Calibri"/>
        <family val="2"/>
        <scheme val="minor"/>
      </rPr>
      <t>O</t>
    </r>
    <r>
      <rPr>
        <vertAlign val="superscript"/>
        <sz val="11"/>
        <color theme="1"/>
        <rFont val="Calibri"/>
        <family val="2"/>
        <scheme val="minor"/>
      </rPr>
      <t>12</t>
    </r>
    <r>
      <rPr>
        <sz val="11"/>
        <color theme="1"/>
        <rFont val="Calibri"/>
        <family val="2"/>
        <scheme val="minor"/>
      </rPr>
      <t>C</t>
    </r>
    <r>
      <rPr>
        <b/>
        <vertAlign val="superscript"/>
        <sz val="11"/>
        <color theme="1"/>
        <rFont val="Calibri"/>
        <family val="2"/>
        <scheme val="minor"/>
      </rPr>
      <t>17</t>
    </r>
    <r>
      <rPr>
        <b/>
        <sz val="11"/>
        <color theme="1"/>
        <rFont val="Calibri"/>
        <family val="2"/>
        <scheme val="minor"/>
      </rPr>
      <t>O</t>
    </r>
  </si>
  <si>
    <r>
      <rPr>
        <b/>
        <vertAlign val="superscript"/>
        <sz val="11"/>
        <color theme="1"/>
        <rFont val="Calibri"/>
        <family val="2"/>
        <scheme val="minor"/>
      </rPr>
      <t>17</t>
    </r>
    <r>
      <rPr>
        <b/>
        <sz val="11"/>
        <color theme="1"/>
        <rFont val="Calibri"/>
        <family val="2"/>
        <scheme val="minor"/>
      </rPr>
      <t>O</t>
    </r>
    <r>
      <rPr>
        <b/>
        <vertAlign val="superscript"/>
        <sz val="11"/>
        <color theme="1"/>
        <rFont val="Calibri"/>
        <family val="2"/>
        <scheme val="minor"/>
      </rPr>
      <t>13</t>
    </r>
    <r>
      <rPr>
        <b/>
        <sz val="11"/>
        <color theme="1"/>
        <rFont val="Calibri"/>
        <family val="2"/>
        <scheme val="minor"/>
      </rPr>
      <t>C</t>
    </r>
    <r>
      <rPr>
        <b/>
        <vertAlign val="superscript"/>
        <sz val="11"/>
        <color theme="1"/>
        <rFont val="Calibri"/>
        <family val="2"/>
        <scheme val="minor"/>
      </rPr>
      <t>17</t>
    </r>
    <r>
      <rPr>
        <b/>
        <sz val="11"/>
        <color theme="1"/>
        <rFont val="Calibri"/>
        <family val="2"/>
        <scheme val="minor"/>
      </rPr>
      <t>O</t>
    </r>
  </si>
  <si>
    <t>amount % of signal from minor component, approximate, natural abundance levels</t>
  </si>
  <si>
    <r>
      <rPr>
        <b/>
        <sz val="11"/>
        <color theme="1"/>
        <rFont val="Calibri"/>
        <family val="2"/>
      </rPr>
      <t>Δ</t>
    </r>
    <r>
      <rPr>
        <b/>
        <vertAlign val="subscript"/>
        <sz val="11"/>
        <color theme="1"/>
        <rFont val="Calibri"/>
        <family val="2"/>
        <scheme val="minor"/>
      </rPr>
      <t>47</t>
    </r>
    <r>
      <rPr>
        <b/>
        <sz val="11"/>
        <color theme="1"/>
        <rFont val="Calibri"/>
        <family val="2"/>
        <scheme val="minor"/>
      </rPr>
      <t>, slope corr.</t>
    </r>
  </si>
  <si>
    <r>
      <rPr>
        <sz val="11"/>
        <color theme="1"/>
        <rFont val="Calibri"/>
        <family val="2"/>
      </rPr>
      <t>Δ</t>
    </r>
    <r>
      <rPr>
        <vertAlign val="subscript"/>
        <sz val="11"/>
        <color theme="1"/>
        <rFont val="Calibri"/>
        <family val="2"/>
        <scheme val="minor"/>
      </rPr>
      <t>47</t>
    </r>
    <r>
      <rPr>
        <sz val="11"/>
        <color theme="1"/>
        <rFont val="Calibri"/>
        <family val="2"/>
        <scheme val="minor"/>
      </rPr>
      <t xml:space="preserve"> slope corr.:  subtract out slope effect to detrend the results</t>
    </r>
  </si>
  <si>
    <r>
      <t xml:space="preserve">Detrending: </t>
    </r>
    <r>
      <rPr>
        <sz val="11"/>
        <color theme="1"/>
        <rFont val="Calibri"/>
        <family val="2"/>
      </rPr>
      <t>Δ</t>
    </r>
    <r>
      <rPr>
        <vertAlign val="subscript"/>
        <sz val="11"/>
        <color theme="1"/>
        <rFont val="Calibri"/>
        <family val="2"/>
        <scheme val="minor"/>
      </rPr>
      <t>47</t>
    </r>
    <r>
      <rPr>
        <sz val="11"/>
        <color theme="1"/>
        <rFont val="Calibri"/>
        <family val="2"/>
        <scheme val="minor"/>
      </rPr>
      <t xml:space="preserve"> slope corr.:  subtract out slope effect to detrend the results  Was subtracting out entire line before so values end up around zero, not modeled Δ</t>
    </r>
    <r>
      <rPr>
        <vertAlign val="subscript"/>
        <sz val="11"/>
        <color theme="1"/>
        <rFont val="Calibri"/>
        <family val="2"/>
        <scheme val="minor"/>
      </rPr>
      <t>47</t>
    </r>
    <r>
      <rPr>
        <sz val="11"/>
        <color theme="1"/>
        <rFont val="Calibri"/>
        <family val="2"/>
        <scheme val="minor"/>
      </rPr>
      <t xml:space="preserve"> input.  That is now corrected</t>
    </r>
  </si>
  <si>
    <r>
      <t xml:space="preserve">example: generate data with IUPAC2010, process with 1995: creates </t>
    </r>
    <r>
      <rPr>
        <b/>
        <sz val="11"/>
        <color theme="1"/>
        <rFont val="Calibri"/>
        <family val="2"/>
      </rPr>
      <t>Δ</t>
    </r>
    <r>
      <rPr>
        <b/>
        <vertAlign val="subscript"/>
        <sz val="11"/>
        <color theme="1"/>
        <rFont val="Calibri"/>
        <family val="2"/>
        <scheme val="minor"/>
      </rPr>
      <t>47</t>
    </r>
    <r>
      <rPr>
        <b/>
        <sz val="11"/>
        <color theme="1"/>
        <rFont val="Calibri"/>
        <family val="2"/>
        <scheme val="minor"/>
      </rPr>
      <t xml:space="preserve"> </t>
    </r>
    <r>
      <rPr>
        <b/>
        <i/>
        <sz val="11"/>
        <color theme="1"/>
        <rFont val="Calibri"/>
        <family val="2"/>
        <scheme val="minor"/>
      </rPr>
      <t>vs</t>
    </r>
    <r>
      <rPr>
        <b/>
        <sz val="11"/>
        <color theme="1"/>
        <rFont val="Calibri"/>
        <family val="2"/>
        <scheme val="minor"/>
      </rPr>
      <t xml:space="preserve"> </t>
    </r>
    <r>
      <rPr>
        <b/>
        <sz val="11"/>
        <color theme="1"/>
        <rFont val="Calibri"/>
        <family val="2"/>
      </rPr>
      <t>δ</t>
    </r>
    <r>
      <rPr>
        <b/>
        <vertAlign val="subscript"/>
        <sz val="11"/>
        <color theme="1"/>
        <rFont val="Calibri"/>
        <family val="2"/>
        <scheme val="minor"/>
      </rPr>
      <t>47</t>
    </r>
    <r>
      <rPr>
        <b/>
        <sz val="11"/>
        <color theme="1"/>
        <rFont val="Calibri"/>
        <family val="2"/>
        <scheme val="minor"/>
      </rPr>
      <t xml:space="preserve"> slope; after slope correction samples within 11 ppm of each other</t>
    </r>
  </si>
  <si>
    <t>baselines: 45,46,47, 44</t>
  </si>
  <si>
    <t>single point:</t>
  </si>
  <si>
    <t>single point, sample only</t>
  </si>
  <si>
    <r>
      <rPr>
        <b/>
        <sz val="11"/>
        <color theme="1"/>
        <rFont val="Calibri"/>
        <family val="2"/>
      </rPr>
      <t>Δ</t>
    </r>
    <r>
      <rPr>
        <b/>
        <vertAlign val="subscript"/>
        <sz val="11"/>
        <color theme="1"/>
        <rFont val="Calibri"/>
        <family val="2"/>
        <scheme val="minor"/>
      </rPr>
      <t>47</t>
    </r>
    <r>
      <rPr>
        <b/>
        <sz val="11"/>
        <color theme="1"/>
        <rFont val="Calibri"/>
        <family val="2"/>
        <scheme val="minor"/>
      </rPr>
      <t>, ref and sample</t>
    </r>
  </si>
  <si>
    <r>
      <rPr>
        <b/>
        <sz val="11"/>
        <color theme="1"/>
        <rFont val="Calibri"/>
        <family val="2"/>
      </rPr>
      <t>Δ</t>
    </r>
    <r>
      <rPr>
        <b/>
        <vertAlign val="subscript"/>
        <sz val="11"/>
        <color theme="1"/>
        <rFont val="Calibri"/>
        <family val="2"/>
        <scheme val="minor"/>
      </rPr>
      <t>17</t>
    </r>
    <r>
      <rPr>
        <b/>
        <sz val="11"/>
        <color theme="1"/>
        <rFont val="Calibri"/>
        <family val="2"/>
        <scheme val="minor"/>
      </rPr>
      <t>, sample and ref</t>
    </r>
  </si>
  <si>
    <t>Linearity: 45,46,47, 44</t>
  </si>
  <si>
    <t>Relative abs. abundances</t>
  </si>
  <si>
    <t>m/z 45, 46, 47</t>
  </si>
  <si>
    <t>Sample and ref signal</t>
  </si>
  <si>
    <t>offset:</t>
  </si>
  <si>
    <t>target value:</t>
  </si>
  <si>
    <t>relative amplication</t>
  </si>
  <si>
    <t>User input in yellow (unlocked)</t>
  </si>
  <si>
    <t>password to unlock:</t>
  </si>
  <si>
    <t>unlock</t>
  </si>
  <si>
    <t>password to unlock</t>
  </si>
  <si>
    <t>Locked calculations, password to unlock a given sheet: unlock</t>
  </si>
  <si>
    <t>also lock reporting of results and summary of parameters seen on datapoint-plots tab</t>
  </si>
  <si>
    <t>input and plots are not locked</t>
  </si>
  <si>
    <t>example parameter sets are locked too</t>
  </si>
  <si>
    <t>yellow highlighted cells, all in "datapoints-plots" tab, other tabs for reference</t>
  </si>
  <si>
    <r>
      <t>δ</t>
    </r>
    <r>
      <rPr>
        <vertAlign val="superscript"/>
        <sz val="11"/>
        <color theme="1"/>
        <rFont val="Calibri"/>
        <family val="2"/>
        <scheme val="minor"/>
      </rPr>
      <t>13</t>
    </r>
    <r>
      <rPr>
        <sz val="11"/>
        <color theme="1"/>
        <rFont val="Calibri"/>
        <family val="2"/>
        <scheme val="minor"/>
      </rPr>
      <t>C</t>
    </r>
    <r>
      <rPr>
        <vertAlign val="subscript"/>
        <sz val="11"/>
        <color theme="1"/>
        <rFont val="Calibri"/>
        <family val="2"/>
        <scheme val="minor"/>
      </rPr>
      <t>VPDB</t>
    </r>
    <r>
      <rPr>
        <sz val="11"/>
        <color theme="1"/>
        <rFont val="Calibri"/>
        <family val="2"/>
        <scheme val="minor"/>
      </rPr>
      <t xml:space="preserve"> and δ</t>
    </r>
    <r>
      <rPr>
        <vertAlign val="superscript"/>
        <sz val="11"/>
        <color theme="1"/>
        <rFont val="Calibri"/>
        <family val="2"/>
        <scheme val="minor"/>
      </rPr>
      <t>18</t>
    </r>
    <r>
      <rPr>
        <sz val="11"/>
        <color theme="1"/>
        <rFont val="Calibri"/>
        <family val="2"/>
        <scheme val="minor"/>
      </rPr>
      <t>O</t>
    </r>
    <r>
      <rPr>
        <vertAlign val="subscript"/>
        <sz val="11"/>
        <color theme="1"/>
        <rFont val="Calibri"/>
        <family val="2"/>
        <scheme val="minor"/>
      </rPr>
      <t>VSMOW</t>
    </r>
    <r>
      <rPr>
        <sz val="11"/>
        <color theme="1"/>
        <rFont val="Calibri"/>
        <family val="2"/>
        <scheme val="minor"/>
      </rPr>
      <t xml:space="preserve"> typed in by user, columns D and E, rest of columns to right are output data (see below)</t>
    </r>
  </si>
  <si>
    <t>Columns A and B for parameter, baseline, linearity, etc. input:</t>
  </si>
  <si>
    <t>explanations and examples are in "Parameters" and "baseline-D17-D47" tabs</t>
  </si>
  <si>
    <t>More information in other tabs</t>
  </si>
  <si>
    <r>
      <t xml:space="preserve">ID, VSMOW </t>
    </r>
    <r>
      <rPr>
        <b/>
        <vertAlign val="superscript"/>
        <sz val="11"/>
        <color rgb="FFFF0000"/>
        <rFont val="Calibri"/>
        <family val="2"/>
        <scheme val="minor"/>
      </rPr>
      <t>18</t>
    </r>
    <r>
      <rPr>
        <b/>
        <sz val="11"/>
        <color rgb="FFFF0000"/>
        <rFont val="Calibri"/>
        <family val="2"/>
        <scheme val="minor"/>
      </rPr>
      <t>O/</t>
    </r>
    <r>
      <rPr>
        <b/>
        <vertAlign val="superscript"/>
        <sz val="11"/>
        <color rgb="FFFF0000"/>
        <rFont val="Calibri"/>
        <family val="2"/>
        <scheme val="minor"/>
      </rPr>
      <t>16</t>
    </r>
    <r>
      <rPr>
        <b/>
        <sz val="11"/>
        <color rgb="FFFF0000"/>
        <rFont val="Calibri"/>
        <family val="2"/>
        <scheme val="minor"/>
      </rPr>
      <t xml:space="preserve">O; VPDB </t>
    </r>
    <r>
      <rPr>
        <b/>
        <vertAlign val="superscript"/>
        <sz val="11"/>
        <color rgb="FFFF0000"/>
        <rFont val="Calibri"/>
        <family val="2"/>
        <scheme val="minor"/>
      </rPr>
      <t>13</t>
    </r>
    <r>
      <rPr>
        <b/>
        <sz val="11"/>
        <color rgb="FFFF0000"/>
        <rFont val="Calibri"/>
        <family val="2"/>
        <scheme val="minor"/>
      </rPr>
      <t>C/</t>
    </r>
    <r>
      <rPr>
        <b/>
        <vertAlign val="superscript"/>
        <sz val="11"/>
        <color rgb="FFFF0000"/>
        <rFont val="Calibri"/>
        <family val="2"/>
        <scheme val="minor"/>
      </rPr>
      <t>12</t>
    </r>
    <r>
      <rPr>
        <b/>
        <sz val="11"/>
        <color rgb="FFFF0000"/>
        <rFont val="Calibri"/>
        <family val="2"/>
        <scheme val="minor"/>
      </rPr>
      <t>C, lambda, K</t>
    </r>
  </si>
  <si>
    <t>ref gas values:</t>
  </si>
  <si>
    <t>offset from label</t>
  </si>
  <si>
    <t>for no change, use:</t>
  </si>
  <si>
    <t>recommended:</t>
  </si>
  <si>
    <t>offset (m/z) from working gas:</t>
  </si>
  <si>
    <t>cell in datapoints-plots tab</t>
  </si>
  <si>
    <t>User input in tab "datapoints-plots", explainations and examples here</t>
  </si>
  <si>
    <t>Parameters: see "Parameters" tab</t>
  </si>
  <si>
    <t>see 'baseline-D17-D47" tab for more info.</t>
  </si>
  <si>
    <t>version #5B</t>
  </si>
  <si>
    <t>Move input to "datapoints-plots" tab</t>
  </si>
  <si>
    <t>cell positions for input in "datapoints-plots" tab listed in other tabs</t>
  </si>
  <si>
    <t>one for data generation from input, tab "datapoints-plots", cells: A6-10</t>
  </si>
  <si>
    <t>one for data output calculation,  tab "datapoints-plots", cells: B6-10</t>
  </si>
  <si>
    <r>
      <rPr>
        <vertAlign val="superscript"/>
        <sz val="11"/>
        <color theme="1"/>
        <rFont val="Calibri"/>
        <family val="2"/>
        <scheme val="minor"/>
      </rPr>
      <t>13</t>
    </r>
    <r>
      <rPr>
        <sz val="11"/>
        <color theme="1"/>
        <rFont val="Calibri"/>
        <family val="2"/>
        <scheme val="minor"/>
      </rPr>
      <t>C/</t>
    </r>
    <r>
      <rPr>
        <vertAlign val="superscript"/>
        <sz val="11"/>
        <color theme="1"/>
        <rFont val="Calibri"/>
        <family val="2"/>
        <scheme val="minor"/>
      </rPr>
      <t>12</t>
    </r>
    <r>
      <rPr>
        <sz val="11"/>
        <color theme="1"/>
        <rFont val="Calibri"/>
        <family val="2"/>
        <scheme val="minor"/>
      </rPr>
      <t>C for VPDB, line 11 "Parameters" tab, input in "datapoints-plots" tab, columns A or B, line 8</t>
    </r>
  </si>
  <si>
    <r>
      <rPr>
        <vertAlign val="superscript"/>
        <sz val="11"/>
        <color theme="1"/>
        <rFont val="Calibri"/>
        <family val="2"/>
        <scheme val="minor"/>
      </rPr>
      <t>18</t>
    </r>
    <r>
      <rPr>
        <sz val="11"/>
        <color theme="1"/>
        <rFont val="Calibri"/>
        <family val="2"/>
        <scheme val="minor"/>
      </rPr>
      <t>O/</t>
    </r>
    <r>
      <rPr>
        <vertAlign val="superscript"/>
        <sz val="11"/>
        <color theme="1"/>
        <rFont val="Calibri"/>
        <family val="2"/>
        <scheme val="minor"/>
      </rPr>
      <t>16</t>
    </r>
    <r>
      <rPr>
        <sz val="11"/>
        <color theme="1"/>
        <rFont val="Calibri"/>
        <family val="2"/>
        <scheme val="minor"/>
      </rPr>
      <t>O for VSMOW, line 10 "Parameters" tab, input in "datapoints-plots" tab, columns A or B, line 7</t>
    </r>
  </si>
  <si>
    <r>
      <t xml:space="preserve">ref gas value: </t>
    </r>
    <r>
      <rPr>
        <sz val="11"/>
        <color theme="1"/>
        <rFont val="Calibri"/>
        <family val="2"/>
      </rPr>
      <t>δ</t>
    </r>
    <r>
      <rPr>
        <vertAlign val="superscript"/>
        <sz val="11"/>
        <color theme="1"/>
        <rFont val="Calibri"/>
        <family val="2"/>
        <scheme val="minor"/>
      </rPr>
      <t>13</t>
    </r>
    <r>
      <rPr>
        <sz val="11"/>
        <color theme="1"/>
        <rFont val="Calibri"/>
        <family val="2"/>
        <scheme val="minor"/>
      </rPr>
      <t>C</t>
    </r>
    <r>
      <rPr>
        <vertAlign val="subscript"/>
        <sz val="11"/>
        <color theme="1"/>
        <rFont val="Calibri"/>
        <family val="2"/>
        <scheme val="minor"/>
      </rPr>
      <t>VPDB</t>
    </r>
    <r>
      <rPr>
        <sz val="11"/>
        <color theme="1"/>
        <rFont val="Calibri"/>
        <family val="2"/>
        <scheme val="minor"/>
      </rPr>
      <t>, δ</t>
    </r>
    <r>
      <rPr>
        <vertAlign val="superscript"/>
        <sz val="11"/>
        <color theme="1"/>
        <rFont val="Calibri"/>
        <family val="2"/>
        <scheme val="minor"/>
      </rPr>
      <t>18</t>
    </r>
    <r>
      <rPr>
        <sz val="11"/>
        <color theme="1"/>
        <rFont val="Calibri"/>
        <family val="2"/>
        <scheme val="minor"/>
      </rPr>
      <t>O</t>
    </r>
    <r>
      <rPr>
        <vertAlign val="subscript"/>
        <sz val="11"/>
        <color theme="1"/>
        <rFont val="Calibri"/>
        <family val="2"/>
        <scheme val="minor"/>
      </rPr>
      <t>VSMOW</t>
    </r>
    <r>
      <rPr>
        <sz val="11"/>
        <color theme="1"/>
        <rFont val="Calibri"/>
        <family val="2"/>
        <scheme val="minor"/>
      </rPr>
      <t>, B20 and B21; location in "datapoints-plots" tab, A16 and A17</t>
    </r>
  </si>
  <si>
    <t>ref gas offset values should real value be different from listed value, B22 and B23 (offset not tested); input in "datapoints-plots" tab, B16 and B17</t>
  </si>
  <si>
    <t>Offset in signal strength between ref gas and samples, cell B9; location in "datapoints-plots" tab: A42</t>
  </si>
  <si>
    <t>baseline reading, details near cells B13-16, and/or C for single point, suggestions to the right; input "datapoints-plots" A20-23; single point, B20-23</t>
  </si>
  <si>
    <t>Target value and relative amplification for the different m/z being determined, info around cells B5-8; input, "datapoints-plots", A44 to A49</t>
  </si>
  <si>
    <r>
      <rPr>
        <sz val="11"/>
        <color theme="1"/>
        <rFont val="Calibri"/>
        <family val="2"/>
      </rPr>
      <t>Δ</t>
    </r>
    <r>
      <rPr>
        <vertAlign val="subscript"/>
        <sz val="11"/>
        <color theme="1"/>
        <rFont val="Calibri"/>
        <family val="2"/>
        <scheme val="minor"/>
      </rPr>
      <t>47</t>
    </r>
    <r>
      <rPr>
        <sz val="11"/>
        <color theme="1"/>
        <rFont val="Calibri"/>
        <family val="2"/>
        <scheme val="minor"/>
      </rPr>
      <t>: sample and/or reference--given for calculation, default 0; info around cells B18-19; input "datapoints-plots" A25 (reference) and 26 (sample); single point at B26</t>
    </r>
  </si>
  <si>
    <r>
      <rPr>
        <sz val="11"/>
        <color theme="1"/>
        <rFont val="Calibri"/>
        <family val="2"/>
      </rPr>
      <t>Δ</t>
    </r>
    <r>
      <rPr>
        <vertAlign val="subscript"/>
        <sz val="11"/>
        <color theme="1"/>
        <rFont val="Calibri"/>
        <family val="2"/>
        <scheme val="minor"/>
      </rPr>
      <t>17</t>
    </r>
    <r>
      <rPr>
        <sz val="11"/>
        <color theme="1"/>
        <rFont val="Calibri"/>
        <family val="2"/>
        <scheme val="minor"/>
      </rPr>
      <t>: sample and/or reference--given for calculation, default 0, info around cells B20-21; input "datapoints-plots" tab, A28 (sample) and A29 (reference); single point B28</t>
    </r>
  </si>
  <si>
    <r>
      <t>Δ</t>
    </r>
    <r>
      <rPr>
        <vertAlign val="subscript"/>
        <sz val="11"/>
        <color theme="1"/>
        <rFont val="Calibri"/>
        <family val="2"/>
        <scheme val="minor"/>
      </rPr>
      <t>17</t>
    </r>
    <r>
      <rPr>
        <sz val="11"/>
        <color theme="1"/>
        <rFont val="Calibri"/>
        <family val="2"/>
        <scheme val="minor"/>
      </rPr>
      <t xml:space="preserve"> and </t>
    </r>
    <r>
      <rPr>
        <sz val="11"/>
        <color theme="1"/>
        <rFont val="Calibri"/>
        <family val="2"/>
      </rPr>
      <t>Δ</t>
    </r>
    <r>
      <rPr>
        <vertAlign val="subscript"/>
        <sz val="11"/>
        <color theme="1"/>
        <rFont val="Calibri"/>
        <family val="2"/>
        <scheme val="minor"/>
      </rPr>
      <t>47</t>
    </r>
    <r>
      <rPr>
        <sz val="11"/>
        <color theme="1"/>
        <rFont val="Calibri"/>
        <family val="2"/>
        <scheme val="minor"/>
      </rPr>
      <t xml:space="preserve"> implementation:</t>
    </r>
  </si>
  <si>
    <t>Type in the relative fractional differences between the absolute abundances for the main isotopologue and the major minor one, info around cells B32-34; input "datapoints-plots" tab, A37-39</t>
  </si>
  <si>
    <r>
      <t xml:space="preserve">"Parameters", "baseline-D17-D47" tabs for information on setting the parameter set values, e.g. factors for calculating </t>
    </r>
    <r>
      <rPr>
        <vertAlign val="superscript"/>
        <sz val="11"/>
        <color theme="1"/>
        <rFont val="Calibri"/>
        <family val="2"/>
        <scheme val="minor"/>
      </rPr>
      <t>17</t>
    </r>
    <r>
      <rPr>
        <sz val="11"/>
        <color theme="1"/>
        <rFont val="Calibri"/>
        <family val="2"/>
        <scheme val="minor"/>
      </rPr>
      <t xml:space="preserve">O from </t>
    </r>
    <r>
      <rPr>
        <vertAlign val="superscript"/>
        <sz val="11"/>
        <color theme="1"/>
        <rFont val="Calibri"/>
        <family val="2"/>
        <scheme val="minor"/>
      </rPr>
      <t>18</t>
    </r>
    <r>
      <rPr>
        <sz val="11"/>
        <color theme="1"/>
        <rFont val="Calibri"/>
        <family val="2"/>
        <scheme val="minor"/>
      </rPr>
      <t>O, reference gas, model signals, e.g. 16000 mV on m/z 44, baseline, etc.</t>
    </r>
  </si>
  <si>
    <t>Type in the values for the signal in the main cup, m/z44, and the relative amplifications of the other cups (Duel-Inlet run) in "datapoints-plots" tab</t>
  </si>
  <si>
    <r>
      <t xml:space="preserve">Type in background, e.g. Pressure Baseline, values (0 if none present), </t>
    </r>
    <r>
      <rPr>
        <b/>
        <sz val="14"/>
        <color theme="1"/>
        <rFont val="Calibri"/>
        <family val="2"/>
      </rPr>
      <t>Δ</t>
    </r>
    <r>
      <rPr>
        <b/>
        <vertAlign val="subscript"/>
        <sz val="14"/>
        <color theme="1"/>
        <rFont val="Calibri"/>
        <family val="2"/>
        <scheme val="minor"/>
      </rPr>
      <t>47</t>
    </r>
    <r>
      <rPr>
        <b/>
        <sz val="14"/>
        <color theme="1"/>
        <rFont val="Calibri"/>
        <family val="2"/>
        <scheme val="minor"/>
      </rPr>
      <t xml:space="preserve"> values and  </t>
    </r>
    <r>
      <rPr>
        <b/>
        <sz val="14"/>
        <color theme="1"/>
        <rFont val="Calibri"/>
        <family val="2"/>
      </rPr>
      <t>Δ</t>
    </r>
    <r>
      <rPr>
        <b/>
        <vertAlign val="subscript"/>
        <sz val="14"/>
        <color theme="1"/>
        <rFont val="Calibri"/>
        <family val="2"/>
        <scheme val="minor"/>
      </rPr>
      <t>17</t>
    </r>
    <r>
      <rPr>
        <b/>
        <sz val="14"/>
        <color theme="1"/>
        <rFont val="Calibri"/>
        <family val="2"/>
        <scheme val="minor"/>
      </rPr>
      <t xml:space="preserve"> as appropriate in "datapoints-plots" tab.  Note: have option to modify just one sample.</t>
    </r>
  </si>
  <si>
    <t>Type in linearity, in per mil 45R and/or 46R per volt signal, in "datapoints-plots" tab.  As measured, using a single gas, change in voltage measured on m/z 44.  Here,  linearity applied to voltage on m/z 45 or m/z 46 respectively.</t>
  </si>
  <si>
    <t>Type in relative absolute abundance for largest minor isotopologue compared to main isotopologue at a given m/z ratio in "datapoints-plots" tab.  Mainly affects m/z 45 and 47, does not apply to m/z 44</t>
  </si>
  <si>
    <r>
      <t>fixed plots of -10</t>
    </r>
    <r>
      <rPr>
        <sz val="11"/>
        <color theme="1"/>
        <rFont val="Calibri"/>
        <family val="2"/>
      </rPr>
      <t>‰</t>
    </r>
    <r>
      <rPr>
        <sz val="11"/>
        <color theme="1"/>
        <rFont val="Calibri"/>
        <family val="2"/>
        <scheme val="minor"/>
      </rPr>
      <t xml:space="preserve"> </t>
    </r>
    <r>
      <rPr>
        <sz val="11"/>
        <color theme="1"/>
        <rFont val="Calibri"/>
        <family val="2"/>
      </rPr>
      <t>δ</t>
    </r>
    <r>
      <rPr>
        <vertAlign val="superscript"/>
        <sz val="11"/>
        <color theme="1"/>
        <rFont val="Calibri"/>
        <family val="2"/>
        <scheme val="minor"/>
      </rPr>
      <t>13</t>
    </r>
    <r>
      <rPr>
        <sz val="11"/>
        <color theme="1"/>
        <rFont val="Calibri"/>
        <family val="2"/>
        <scheme val="minor"/>
      </rPr>
      <t>C and +10</t>
    </r>
    <r>
      <rPr>
        <sz val="11"/>
        <color theme="1"/>
        <rFont val="Calibri"/>
        <family val="2"/>
      </rPr>
      <t>‰</t>
    </r>
    <r>
      <rPr>
        <sz val="11"/>
        <color theme="1"/>
        <rFont val="Calibri"/>
        <family val="2"/>
        <scheme val="minor"/>
      </rPr>
      <t xml:space="preserve"> </t>
    </r>
    <r>
      <rPr>
        <sz val="11"/>
        <color theme="1"/>
        <rFont val="Calibri"/>
        <family val="2"/>
      </rPr>
      <t>δ</t>
    </r>
    <r>
      <rPr>
        <vertAlign val="superscript"/>
        <sz val="11"/>
        <color theme="1"/>
        <rFont val="Calibri"/>
        <family val="2"/>
        <scheme val="minor"/>
      </rPr>
      <t>18</t>
    </r>
    <r>
      <rPr>
        <sz val="11"/>
        <color theme="1"/>
        <rFont val="Calibri"/>
        <family val="2"/>
        <scheme val="minor"/>
      </rPr>
      <t>O lines from data matrix, that is the data sort, line 47 and below in "datapoints-plots" tab fixed</t>
    </r>
  </si>
  <si>
    <r>
      <t xml:space="preserve">calculated: </t>
    </r>
    <r>
      <rPr>
        <b/>
        <vertAlign val="superscript"/>
        <sz val="11"/>
        <color theme="1"/>
        <rFont val="Calibri"/>
        <family val="2"/>
        <scheme val="minor"/>
      </rPr>
      <t>17</t>
    </r>
    <r>
      <rPr>
        <b/>
        <sz val="11"/>
        <color theme="1"/>
        <rFont val="Calibri"/>
        <family val="2"/>
        <scheme val="minor"/>
      </rPr>
      <t>O/</t>
    </r>
    <r>
      <rPr>
        <b/>
        <vertAlign val="superscript"/>
        <sz val="11"/>
        <color theme="1"/>
        <rFont val="Calibri"/>
        <family val="2"/>
        <scheme val="minor"/>
      </rPr>
      <t>16</t>
    </r>
    <r>
      <rPr>
        <b/>
        <sz val="11"/>
        <color theme="1"/>
        <rFont val="Calibri"/>
        <family val="2"/>
        <scheme val="minor"/>
      </rPr>
      <t xml:space="preserve">O; </t>
    </r>
    <r>
      <rPr>
        <b/>
        <vertAlign val="superscript"/>
        <sz val="11"/>
        <color theme="1"/>
        <rFont val="Calibri"/>
        <family val="2"/>
        <scheme val="minor"/>
      </rPr>
      <t>18</t>
    </r>
    <r>
      <rPr>
        <b/>
        <sz val="11"/>
        <color theme="1"/>
        <rFont val="Calibri"/>
        <family val="2"/>
        <scheme val="minor"/>
      </rPr>
      <t xml:space="preserve">O/total; </t>
    </r>
    <r>
      <rPr>
        <b/>
        <vertAlign val="superscript"/>
        <sz val="11"/>
        <color theme="1"/>
        <rFont val="Calibri"/>
        <family val="2"/>
        <scheme val="minor"/>
      </rPr>
      <t>13</t>
    </r>
    <r>
      <rPr>
        <b/>
        <sz val="11"/>
        <color theme="1"/>
        <rFont val="Calibri"/>
        <family val="2"/>
        <scheme val="minor"/>
      </rPr>
      <t>C/total</t>
    </r>
  </si>
  <si>
    <t>version #6</t>
  </si>
  <si>
    <t>NOTE: this issue did not affect an older version of #5 where fractionation effects were not yet implemented</t>
  </si>
  <si>
    <t>In most recent version 5, tried correcting  C45 and C46, for D47, but instead of using input for set D47, was using input for D17.  Full Model tab, columns Q and R.  Swapped input positions, fixed for C47, but not C45 or C46</t>
  </si>
  <si>
    <t>uncorrected D47 min max</t>
  </si>
  <si>
    <t>corr D47 min max diff</t>
  </si>
  <si>
    <t>0 to -62</t>
  </si>
  <si>
    <t>0 to 66</t>
  </si>
  <si>
    <t>std intens.</t>
  </si>
  <si>
    <t>linearity: on respective m/z scale</t>
  </si>
  <si>
    <t>new additions:</t>
  </si>
  <si>
    <t xml:space="preserve">take input linearity "as measured", i.e. change in 45/44 or 46/44 over change in m/z44 amplitude, and modify it using 44/45 and 44/46 ratios from reference gas so values used in calculations are based shifts in amplitude seen for m/z45 and 46 respectively.  </t>
  </si>
  <si>
    <t>include difference in m/z 44 between working gas and sample, a single shift for all samples.</t>
  </si>
  <si>
    <t>Normalize PBL input to m/z 44 signal--esp. important when varying relative signal intensity.</t>
  </si>
  <si>
    <t>remove section below main input under "datapoints-plots" where input re-sorted on d18O--which helped in some plots</t>
  </si>
  <si>
    <t>have section for input of D47 from measured runs, "datapoints-plots; J10:J26".  From initial data processing, i.e. no subsequent D47 vs d47 correction.</t>
  </si>
  <si>
    <t>have section for input of m/z 44 differences between working gas and sample, "datapoints-plots; A29:A45"</t>
  </si>
  <si>
    <t>report differences between measured and model D47 prior to D47 vs d47 correction(s); D51:D67 (top) w/out m/z 44 difference included; E51:E67 (bottom) w/ m/z 44 difference</t>
  </si>
  <si>
    <t>Range of differnces between model and sample below results</t>
  </si>
  <si>
    <t>Columns G and H are the squares of the differences, summarized at bottom of results.  Minimize one of these values when fitting variable to measured results</t>
  </si>
  <si>
    <t>version #7b-model</t>
  </si>
  <si>
    <t>"fitting" series (see fitting file, not model file)</t>
  </si>
  <si>
    <t>fitting series info</t>
  </si>
  <si>
    <t>avg:</t>
  </si>
  <si>
    <t>stdev:</t>
  </si>
  <si>
    <t>3/10/2018 fixed single point baseline issue--single point effect on top of general baseline effect, previously was counting general baseline effect twice</t>
  </si>
  <si>
    <t>re-arrange positions for parameter inputs</t>
  </si>
  <si>
    <t>sample and single point only</t>
  </si>
  <si>
    <t>vs d47</t>
  </si>
  <si>
    <t>vs (d13C-d18O)</t>
  </si>
  <si>
    <t xml:space="preserve">no correction </t>
  </si>
  <si>
    <t>D47 vs d47 corr</t>
  </si>
  <si>
    <t>intercepts</t>
  </si>
  <si>
    <t>slopes: D47</t>
  </si>
  <si>
    <t>vs d47, const d18O</t>
  </si>
  <si>
    <t>vs d47, constant 13C</t>
  </si>
  <si>
    <t>calculated--do not overwrite</t>
  </si>
  <si>
    <t>Copy over or type in the parameters below in "datapoints-plots" tab for both generating model data and for calculating results from that set of model data.</t>
  </si>
  <si>
    <t>see "data-plots" tab</t>
  </si>
  <si>
    <t>highlighted section under:</t>
  </si>
  <si>
    <t>a6-a10</t>
  </si>
  <si>
    <t>b6-b10</t>
  </si>
  <si>
    <t>a12-a14</t>
  </si>
  <si>
    <t>b 12-b14</t>
  </si>
  <si>
    <t>Reference (working) gas values  and offsets, in datapoints-plots tab:</t>
  </si>
  <si>
    <r>
      <rPr>
        <sz val="14"/>
        <color theme="1"/>
        <rFont val="Calibri"/>
        <family val="2"/>
        <scheme val="minor"/>
      </rPr>
      <t>User input in tab</t>
    </r>
    <r>
      <rPr>
        <b/>
        <sz val="14"/>
        <color theme="1"/>
        <rFont val="Calibri"/>
        <family val="2"/>
        <scheme val="minor"/>
      </rPr>
      <t xml:space="preserve"> "datapoints-plots", </t>
    </r>
    <r>
      <rPr>
        <sz val="14"/>
        <color theme="1"/>
        <rFont val="Calibri"/>
        <family val="2"/>
        <scheme val="minor"/>
      </rPr>
      <t>explainations and examples here</t>
    </r>
  </si>
  <si>
    <t>See datapoints-plots tab</t>
  </si>
  <si>
    <t>type or copy and paste</t>
  </si>
  <si>
    <t>input into "datapoints-plots"</t>
  </si>
  <si>
    <t>cells:</t>
  </si>
  <si>
    <t>tab., see cells A42 to A49</t>
  </si>
  <si>
    <t>tab., see cells A20 to A29</t>
  </si>
  <si>
    <t>for single</t>
  </si>
  <si>
    <t>point test,</t>
  </si>
  <si>
    <t>B20-B29</t>
  </si>
  <si>
    <t>see cells:</t>
  </si>
  <si>
    <t>cells: A16-A17</t>
  </si>
  <si>
    <t>cells: B16-B17</t>
  </si>
  <si>
    <t>tab., see cells A31 to A34</t>
  </si>
  <si>
    <t>tab., see cells A37 to A39</t>
  </si>
  <si>
    <r>
      <t xml:space="preserve">parameter set(s) for </t>
    </r>
    <r>
      <rPr>
        <vertAlign val="superscript"/>
        <sz val="11"/>
        <color theme="1"/>
        <rFont val="Calibri"/>
        <family val="2"/>
        <scheme val="minor"/>
      </rPr>
      <t>17</t>
    </r>
    <r>
      <rPr>
        <sz val="11"/>
        <color theme="1"/>
        <rFont val="Calibri"/>
        <family val="2"/>
        <scheme val="minor"/>
      </rPr>
      <t>O determination, input moved to "datapoints-plot" tab, suggestions listed to the right</t>
    </r>
  </si>
  <si>
    <t>minor touch ups</t>
  </si>
  <si>
    <r>
      <t>This model takes Dual Inlet results, δ</t>
    </r>
    <r>
      <rPr>
        <b/>
        <vertAlign val="superscript"/>
        <sz val="11"/>
        <color theme="1"/>
        <rFont val="Calibri"/>
        <family val="2"/>
        <scheme val="minor"/>
      </rPr>
      <t>13</t>
    </r>
    <r>
      <rPr>
        <b/>
        <sz val="11"/>
        <color theme="1"/>
        <rFont val="Calibri"/>
        <family val="2"/>
        <scheme val="minor"/>
      </rPr>
      <t>C, δ</t>
    </r>
    <r>
      <rPr>
        <b/>
        <vertAlign val="superscript"/>
        <sz val="11"/>
        <color theme="1"/>
        <rFont val="Calibri"/>
        <family val="2"/>
        <scheme val="minor"/>
      </rPr>
      <t>18</t>
    </r>
    <r>
      <rPr>
        <b/>
        <sz val="11"/>
        <color theme="1"/>
        <rFont val="Calibri"/>
        <family val="2"/>
        <scheme val="minor"/>
      </rPr>
      <t>O and Δ</t>
    </r>
    <r>
      <rPr>
        <b/>
        <vertAlign val="subscript"/>
        <sz val="11"/>
        <color theme="1"/>
        <rFont val="Calibri"/>
        <family val="2"/>
        <scheme val="minor"/>
      </rPr>
      <t>47</t>
    </r>
    <r>
      <rPr>
        <b/>
        <sz val="11"/>
        <color theme="1"/>
        <rFont val="Calibri"/>
        <family val="2"/>
        <scheme val="minor"/>
      </rPr>
      <t xml:space="preserve">,  and parameters as input data, calculates expected instrument readings, applies baseline, </t>
    </r>
    <r>
      <rPr>
        <b/>
        <sz val="11"/>
        <color theme="1"/>
        <rFont val="Calibri"/>
        <family val="2"/>
      </rPr>
      <t>Δ</t>
    </r>
    <r>
      <rPr>
        <b/>
        <sz val="11"/>
        <color theme="1"/>
        <rFont val="Calibri"/>
        <family val="2"/>
        <scheme val="minor"/>
      </rPr>
      <t xml:space="preserve">17 and </t>
    </r>
    <r>
      <rPr>
        <b/>
        <sz val="11"/>
        <color theme="1"/>
        <rFont val="Calibri"/>
        <family val="2"/>
      </rPr>
      <t>Δ</t>
    </r>
    <r>
      <rPr>
        <b/>
        <sz val="11"/>
        <color theme="1"/>
        <rFont val="Calibri"/>
        <family val="2"/>
        <scheme val="minor"/>
      </rPr>
      <t>47 effects, then calculates resulting output results using same or different parameter set</t>
    </r>
  </si>
  <si>
    <t>See "Uses" below: this version set up to run with matrix of data points</t>
  </si>
  <si>
    <t>BAC (2010 IUPAC)</t>
  </si>
  <si>
    <t>GSR (1995 Gonfiantini)</t>
  </si>
  <si>
    <r>
      <t xml:space="preserve">GSR w/ current </t>
    </r>
    <r>
      <rPr>
        <b/>
        <vertAlign val="superscript"/>
        <sz val="11"/>
        <color theme="1"/>
        <rFont val="Calibri"/>
        <family val="2"/>
        <scheme val="minor"/>
      </rPr>
      <t>13</t>
    </r>
    <r>
      <rPr>
        <b/>
        <sz val="11"/>
        <color theme="1"/>
        <rFont val="Calibri"/>
        <family val="2"/>
        <scheme val="minor"/>
      </rPr>
      <t>C/</t>
    </r>
    <r>
      <rPr>
        <b/>
        <vertAlign val="superscript"/>
        <sz val="11"/>
        <color theme="1"/>
        <rFont val="Calibri"/>
        <family val="2"/>
        <scheme val="minor"/>
      </rPr>
      <t>12</t>
    </r>
    <r>
      <rPr>
        <b/>
        <sz val="11"/>
        <color theme="1"/>
        <rFont val="Calibri"/>
        <family val="2"/>
        <scheme val="minor"/>
      </rPr>
      <t>C</t>
    </r>
  </si>
  <si>
    <t>A&amp;B</t>
  </si>
  <si>
    <t>A&amp;B w/ current 17O</t>
  </si>
  <si>
    <t>D45 corr</t>
  </si>
  <si>
    <t>D46 corr</t>
  </si>
  <si>
    <t>add back excess R47 , calculate effect on R45 and R46</t>
  </si>
  <si>
    <r>
      <t>Calculated δ</t>
    </r>
    <r>
      <rPr>
        <vertAlign val="superscript"/>
        <sz val="11"/>
        <color theme="1"/>
        <rFont val="Calibri"/>
        <family val="2"/>
        <scheme val="minor"/>
      </rPr>
      <t>13</t>
    </r>
    <r>
      <rPr>
        <sz val="11"/>
        <color theme="1"/>
        <rFont val="Calibri"/>
        <family val="2"/>
        <scheme val="minor"/>
      </rPr>
      <t>C</t>
    </r>
    <r>
      <rPr>
        <vertAlign val="subscript"/>
        <sz val="11"/>
        <color theme="1"/>
        <rFont val="Calibri"/>
        <family val="2"/>
        <scheme val="minor"/>
      </rPr>
      <t>VPDB</t>
    </r>
    <r>
      <rPr>
        <sz val="11"/>
        <color theme="1"/>
        <rFont val="Calibri"/>
        <family val="2"/>
        <scheme val="minor"/>
      </rPr>
      <t xml:space="preserve"> and δ</t>
    </r>
    <r>
      <rPr>
        <vertAlign val="superscript"/>
        <sz val="11"/>
        <color theme="1"/>
        <rFont val="Calibri"/>
        <family val="2"/>
        <scheme val="minor"/>
      </rPr>
      <t>18</t>
    </r>
    <r>
      <rPr>
        <sz val="11"/>
        <color theme="1"/>
        <rFont val="Calibri"/>
        <family val="2"/>
        <scheme val="minor"/>
      </rPr>
      <t>O</t>
    </r>
    <r>
      <rPr>
        <vertAlign val="subscript"/>
        <sz val="11"/>
        <color theme="1"/>
        <rFont val="Calibri"/>
        <family val="2"/>
        <scheme val="minor"/>
      </rPr>
      <t>VSMOW</t>
    </r>
    <r>
      <rPr>
        <sz val="11"/>
        <color theme="1"/>
        <rFont val="Calibri"/>
        <family val="2"/>
        <scheme val="minor"/>
      </rPr>
      <t>: using parameter sets from "Parameters" tab, after other modifications from "baseline-D17-D47" applied.</t>
    </r>
  </si>
  <si>
    <t>Note: all parameters/variables now modified in the "datapoints-plot" tab. The "Parameters" and "baseline…" tabs provide some typical values.</t>
  </si>
  <si>
    <r>
      <t xml:space="preserve">"Linear fit": plot </t>
    </r>
    <r>
      <rPr>
        <sz val="11"/>
        <color theme="1"/>
        <rFont val="Calibri"/>
        <family val="2"/>
      </rPr>
      <t>Δ</t>
    </r>
    <r>
      <rPr>
        <vertAlign val="subscript"/>
        <sz val="11"/>
        <color theme="1"/>
        <rFont val="Calibri"/>
        <family val="2"/>
        <scheme val="minor"/>
      </rPr>
      <t>47</t>
    </r>
    <r>
      <rPr>
        <sz val="11"/>
        <color theme="1"/>
        <rFont val="Calibri"/>
        <family val="2"/>
        <scheme val="minor"/>
      </rPr>
      <t xml:space="preserve"> vs </t>
    </r>
    <r>
      <rPr>
        <sz val="11"/>
        <color theme="1"/>
        <rFont val="Calibri"/>
        <family val="2"/>
      </rPr>
      <t>δ</t>
    </r>
    <r>
      <rPr>
        <vertAlign val="superscript"/>
        <sz val="11"/>
        <color theme="1"/>
        <rFont val="Calibri"/>
        <family val="2"/>
        <scheme val="minor"/>
      </rPr>
      <t>47</t>
    </r>
    <r>
      <rPr>
        <sz val="11"/>
        <color theme="1"/>
        <rFont val="Calibri"/>
        <family val="2"/>
        <scheme val="minor"/>
      </rPr>
      <t>, assume a linear relationship, and correct to the line, i.e. de-trend the results--in "datapoints-plot" tab, column H.</t>
    </r>
  </si>
  <si>
    <t>other minor changes in explanation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</si>
</sst>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00000E+00"/>
    <numFmt numFmtId="165" formatCode="0.00000"/>
    <numFmt numFmtId="166" formatCode="0.000"/>
    <numFmt numFmtId="167" formatCode="0.0000"/>
    <numFmt numFmtId="168" formatCode="0.0"/>
    <numFmt numFmtId="169" formatCode="0.000000"/>
  </numFmts>
  <fonts count="47"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1"/>
      <color rgb="FF7030A0"/>
      <name val="Calibri"/>
      <family val="2"/>
      <scheme val="minor"/>
    </font>
    <font>
      <vertAlign val="superscript"/>
      <sz val="11"/>
      <color theme="1"/>
      <name val="Calibri"/>
      <family val="2"/>
      <scheme val="minor"/>
    </font>
    <font>
      <sz val="11"/>
      <color theme="1"/>
      <name val="Calibri"/>
      <family val="2"/>
    </font>
    <font>
      <b/>
      <sz val="11"/>
      <name val="Calibri"/>
      <family val="2"/>
      <scheme val="minor"/>
    </font>
    <font>
      <sz val="11"/>
      <color theme="9" tint="0.79998168889431442"/>
      <name val="Calibri"/>
      <family val="2"/>
      <scheme val="minor"/>
    </font>
    <font>
      <sz val="11"/>
      <color theme="1" tint="0.499984740745262"/>
      <name val="Calibri"/>
      <family val="2"/>
      <scheme val="minor"/>
    </font>
    <font>
      <vertAlign val="subscript"/>
      <sz val="11"/>
      <color theme="1"/>
      <name val="Calibri"/>
      <family val="2"/>
      <scheme val="minor"/>
    </font>
    <font>
      <sz val="12"/>
      <color rgb="FF000000"/>
      <name val="Calibri"/>
      <family val="2"/>
      <scheme val="minor"/>
    </font>
    <font>
      <i/>
      <sz val="12"/>
      <color rgb="FF000000"/>
      <name val="Calibri"/>
      <family val="2"/>
      <scheme val="minor"/>
    </font>
    <font>
      <vertAlign val="superscript"/>
      <sz val="12"/>
      <color rgb="FF000000"/>
      <name val="Calibri"/>
      <family val="2"/>
      <scheme val="minor"/>
    </font>
    <font>
      <sz val="12"/>
      <color theme="1"/>
      <name val="Calibri"/>
      <family val="2"/>
      <scheme val="minor"/>
    </font>
    <font>
      <sz val="11"/>
      <color rgb="FF00B050"/>
      <name val="Calibri"/>
      <family val="2"/>
      <scheme val="minor"/>
    </font>
    <font>
      <b/>
      <sz val="11"/>
      <color theme="1"/>
      <name val="Calibri"/>
      <family val="2"/>
    </font>
    <font>
      <b/>
      <vertAlign val="superscript"/>
      <sz val="11"/>
      <color theme="1"/>
      <name val="Calibri"/>
      <family val="2"/>
    </font>
    <font>
      <b/>
      <vertAlign val="superscript"/>
      <sz val="11"/>
      <color theme="1"/>
      <name val="Calibri"/>
      <family val="2"/>
      <scheme val="minor"/>
    </font>
    <font>
      <b/>
      <sz val="11"/>
      <color rgb="FFFF0000"/>
      <name val="Calibri"/>
      <family val="2"/>
    </font>
    <font>
      <b/>
      <vertAlign val="subscript"/>
      <sz val="11"/>
      <color rgb="FFFF0000"/>
      <name val="Calibri"/>
      <family val="2"/>
      <scheme val="minor"/>
    </font>
    <font>
      <b/>
      <vertAlign val="superscript"/>
      <sz val="11"/>
      <color rgb="FFFF0000"/>
      <name val="Calibri"/>
      <family val="2"/>
      <scheme val="minor"/>
    </font>
    <font>
      <i/>
      <sz val="11"/>
      <color theme="1"/>
      <name val="Calibri"/>
      <family val="2"/>
      <scheme val="minor"/>
    </font>
    <font>
      <b/>
      <vertAlign val="subscript"/>
      <sz val="11"/>
      <color theme="1"/>
      <name val="Calibri"/>
      <family val="2"/>
      <scheme val="minor"/>
    </font>
    <font>
      <b/>
      <sz val="11"/>
      <color theme="1" tint="0.499984740745262"/>
      <name val="Calibri"/>
      <family val="2"/>
      <scheme val="minor"/>
    </font>
    <font>
      <b/>
      <sz val="11"/>
      <color rgb="FF00B050"/>
      <name val="Calibri"/>
      <family val="2"/>
      <scheme val="minor"/>
    </font>
    <font>
      <b/>
      <i/>
      <sz val="11"/>
      <color theme="1"/>
      <name val="Calibri"/>
      <family val="2"/>
      <scheme val="minor"/>
    </font>
    <font>
      <b/>
      <i/>
      <sz val="11"/>
      <color rgb="FFFF0000"/>
      <name val="Calibri"/>
      <family val="2"/>
      <scheme val="minor"/>
    </font>
    <font>
      <b/>
      <sz val="12"/>
      <color rgb="FF000000"/>
      <name val="Calibri"/>
      <family val="2"/>
      <scheme val="minor"/>
    </font>
    <font>
      <b/>
      <i/>
      <sz val="12"/>
      <color rgb="FF000000"/>
      <name val="Calibri"/>
      <family val="2"/>
      <scheme val="minor"/>
    </font>
    <font>
      <vertAlign val="subscript"/>
      <sz val="11"/>
      <color theme="1"/>
      <name val="Calibri"/>
      <family val="2"/>
    </font>
    <font>
      <vertAlign val="superscript"/>
      <sz val="11"/>
      <color theme="1"/>
      <name val="Calibri"/>
      <family val="2"/>
    </font>
    <font>
      <sz val="11"/>
      <color theme="0" tint="-0.499984740745262"/>
      <name val="Calibri"/>
      <family val="2"/>
      <scheme val="minor"/>
    </font>
    <font>
      <sz val="11"/>
      <color rgb="FFC00000"/>
      <name val="Calibri"/>
      <family val="2"/>
      <scheme val="minor"/>
    </font>
    <font>
      <b/>
      <vertAlign val="subscript"/>
      <sz val="11"/>
      <color theme="1"/>
      <name val="Calibri"/>
      <family val="2"/>
    </font>
    <font>
      <b/>
      <sz val="12"/>
      <color theme="1"/>
      <name val="Calibri"/>
      <family val="2"/>
      <scheme val="minor"/>
    </font>
    <font>
      <b/>
      <sz val="14"/>
      <color theme="1"/>
      <name val="Calibri"/>
      <family val="2"/>
      <scheme val="minor"/>
    </font>
    <font>
      <b/>
      <vertAlign val="superscript"/>
      <sz val="14"/>
      <color theme="1"/>
      <name val="Calibri"/>
      <family val="2"/>
      <scheme val="minor"/>
    </font>
    <font>
      <b/>
      <vertAlign val="subscript"/>
      <sz val="14"/>
      <color theme="1"/>
      <name val="Calibri"/>
      <family val="2"/>
      <scheme val="minor"/>
    </font>
    <font>
      <b/>
      <sz val="14"/>
      <color theme="1"/>
      <name val="Calibri"/>
      <family val="2"/>
    </font>
    <font>
      <b/>
      <vertAlign val="superscript"/>
      <sz val="12"/>
      <color theme="1"/>
      <name val="Calibri"/>
      <family val="2"/>
      <scheme val="minor"/>
    </font>
    <font>
      <b/>
      <vertAlign val="subscript"/>
      <sz val="12"/>
      <color theme="1"/>
      <name val="Calibri"/>
      <family val="2"/>
      <scheme val="minor"/>
    </font>
    <font>
      <b/>
      <vertAlign val="superscript"/>
      <sz val="12"/>
      <color rgb="FF000000"/>
      <name val="Calibri"/>
      <family val="2"/>
      <scheme val="minor"/>
    </font>
    <font>
      <b/>
      <sz val="11"/>
      <color rgb="FFC00000"/>
      <name val="Calibri"/>
      <family val="2"/>
      <scheme val="minor"/>
    </font>
    <font>
      <b/>
      <i/>
      <sz val="11"/>
      <name val="Calibri"/>
      <family val="2"/>
      <scheme val="minor"/>
    </font>
    <font>
      <sz val="14"/>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66"/>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59999389629810485"/>
        <bgColor indexed="64"/>
      </patternFill>
    </fill>
  </fills>
  <borders count="28">
    <border>
      <left/>
      <right/>
      <top/>
      <bottom/>
      <diagonal/>
    </border>
    <border>
      <left style="thin">
        <color indexed="64"/>
      </left>
      <right/>
      <top/>
      <bottom/>
      <diagonal/>
    </border>
    <border>
      <left/>
      <right/>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335">
    <xf numFmtId="0" fontId="0" fillId="0" borderId="0" xfId="0"/>
    <xf numFmtId="0" fontId="0" fillId="0" borderId="1" xfId="0" applyBorder="1"/>
    <xf numFmtId="0" fontId="0" fillId="0" borderId="0" xfId="0" applyBorder="1" applyAlignment="1">
      <alignment vertical="center" wrapText="1"/>
    </xf>
    <xf numFmtId="0" fontId="0" fillId="0" borderId="0" xfId="0" applyBorder="1"/>
    <xf numFmtId="164" fontId="0" fillId="0" borderId="1" xfId="0" applyNumberFormat="1" applyBorder="1"/>
    <xf numFmtId="0" fontId="0" fillId="0" borderId="0" xfId="0" applyFill="1" applyBorder="1"/>
    <xf numFmtId="0" fontId="0" fillId="0" borderId="1" xfId="0" applyFill="1" applyBorder="1"/>
    <xf numFmtId="0" fontId="0" fillId="2" borderId="0" xfId="0" applyFill="1"/>
    <xf numFmtId="165" fontId="0" fillId="0" borderId="0" xfId="0" applyNumberFormat="1"/>
    <xf numFmtId="0" fontId="0" fillId="0" borderId="2" xfId="0" applyBorder="1"/>
    <xf numFmtId="165" fontId="0" fillId="0" borderId="0" xfId="0" applyNumberFormat="1" applyBorder="1"/>
    <xf numFmtId="0" fontId="0" fillId="0" borderId="0" xfId="0" applyFill="1"/>
    <xf numFmtId="2" fontId="0" fillId="0" borderId="0" xfId="0" applyNumberFormat="1"/>
    <xf numFmtId="2" fontId="0" fillId="0" borderId="0" xfId="0" applyNumberFormat="1" applyFill="1"/>
    <xf numFmtId="0" fontId="0" fillId="0" borderId="3" xfId="0" applyBorder="1"/>
    <xf numFmtId="0" fontId="0" fillId="0" borderId="3" xfId="0" applyFill="1" applyBorder="1"/>
    <xf numFmtId="0" fontId="1" fillId="0" borderId="0" xfId="0" applyFont="1"/>
    <xf numFmtId="0" fontId="0" fillId="3" borderId="1" xfId="0" applyFill="1" applyBorder="1"/>
    <xf numFmtId="0" fontId="0" fillId="3" borderId="0" xfId="0" applyFill="1"/>
    <xf numFmtId="0" fontId="0" fillId="3" borderId="0" xfId="0" applyFill="1" applyBorder="1"/>
    <xf numFmtId="0" fontId="0" fillId="0" borderId="0" xfId="0" applyFill="1" applyBorder="1" applyAlignment="1">
      <alignment vertical="center" wrapText="1"/>
    </xf>
    <xf numFmtId="165" fontId="0" fillId="0" borderId="0" xfId="0" applyNumberFormat="1" applyFill="1"/>
    <xf numFmtId="165" fontId="0" fillId="0" borderId="0" xfId="0" applyNumberFormat="1" applyFill="1" applyBorder="1"/>
    <xf numFmtId="0" fontId="0" fillId="0" borderId="2" xfId="0" applyFill="1" applyBorder="1"/>
    <xf numFmtId="0" fontId="0" fillId="5" borderId="0" xfId="0" applyFill="1"/>
    <xf numFmtId="0" fontId="0" fillId="0" borderId="4" xfId="0" applyBorder="1"/>
    <xf numFmtId="0" fontId="0" fillId="0" borderId="5" xfId="0" applyBorder="1"/>
    <xf numFmtId="0" fontId="1" fillId="0" borderId="9" xfId="0" applyFont="1" applyBorder="1"/>
    <xf numFmtId="0" fontId="0" fillId="0" borderId="7" xfId="0" applyBorder="1"/>
    <xf numFmtId="0" fontId="0" fillId="6" borderId="0" xfId="0" applyFill="1" applyBorder="1"/>
    <xf numFmtId="0" fontId="0" fillId="6" borderId="0" xfId="0" applyFill="1"/>
    <xf numFmtId="0" fontId="0" fillId="6" borderId="7" xfId="0" applyFill="1" applyBorder="1"/>
    <xf numFmtId="0" fontId="1" fillId="0" borderId="0" xfId="0" applyFont="1" applyFill="1" applyBorder="1"/>
    <xf numFmtId="0" fontId="0" fillId="7" borderId="0" xfId="0" applyFill="1"/>
    <xf numFmtId="0" fontId="2" fillId="0" borderId="0" xfId="0" applyFont="1"/>
    <xf numFmtId="0" fontId="0" fillId="8" borderId="0" xfId="0" applyFill="1"/>
    <xf numFmtId="0" fontId="0" fillId="0" borderId="0" xfId="0"/>
    <xf numFmtId="0" fontId="0" fillId="9" borderId="0" xfId="0" applyFill="1"/>
    <xf numFmtId="0" fontId="0" fillId="0" borderId="6" xfId="0" applyBorder="1"/>
    <xf numFmtId="0" fontId="0" fillId="11" borderId="0" xfId="0" applyFill="1"/>
    <xf numFmtId="0" fontId="0" fillId="12" borderId="1" xfId="0" applyFill="1" applyBorder="1"/>
    <xf numFmtId="0" fontId="0" fillId="12" borderId="0" xfId="0" applyFill="1"/>
    <xf numFmtId="0" fontId="0" fillId="8" borderId="1" xfId="0" applyFill="1" applyBorder="1"/>
    <xf numFmtId="0" fontId="9" fillId="12" borderId="0" xfId="0" applyFont="1" applyFill="1"/>
    <xf numFmtId="2" fontId="0" fillId="5" borderId="0" xfId="0" applyNumberFormat="1" applyFill="1"/>
    <xf numFmtId="0" fontId="1" fillId="0" borderId="2" xfId="0" applyFont="1" applyFill="1" applyBorder="1"/>
    <xf numFmtId="0" fontId="0" fillId="6" borderId="11" xfId="0" applyFill="1" applyBorder="1"/>
    <xf numFmtId="0" fontId="10" fillId="0" borderId="2" xfId="0" applyFont="1" applyFill="1" applyBorder="1"/>
    <xf numFmtId="0" fontId="0" fillId="0" borderId="12" xfId="0" applyFill="1" applyBorder="1"/>
    <xf numFmtId="0" fontId="0" fillId="0" borderId="9" xfId="0" applyFill="1" applyBorder="1"/>
    <xf numFmtId="0" fontId="3" fillId="0" borderId="19" xfId="0" applyFont="1" applyBorder="1"/>
    <xf numFmtId="0" fontId="3" fillId="0" borderId="20" xfId="0" applyFont="1" applyBorder="1"/>
    <xf numFmtId="0" fontId="2" fillId="0" borderId="14" xfId="0" applyFont="1" applyBorder="1"/>
    <xf numFmtId="0" fontId="2" fillId="0" borderId="13" xfId="0" applyFont="1" applyBorder="1"/>
    <xf numFmtId="0" fontId="2" fillId="0" borderId="15" xfId="0" applyFont="1" applyBorder="1"/>
    <xf numFmtId="0" fontId="2" fillId="0" borderId="14" xfId="0" applyFont="1" applyFill="1" applyBorder="1"/>
    <xf numFmtId="0" fontId="2" fillId="3" borderId="13" xfId="0" applyFont="1" applyFill="1" applyBorder="1"/>
    <xf numFmtId="0" fontId="2" fillId="3" borderId="14" xfId="0" applyFont="1" applyFill="1" applyBorder="1"/>
    <xf numFmtId="165" fontId="2" fillId="0" borderId="14" xfId="0" applyNumberFormat="1" applyFont="1" applyBorder="1"/>
    <xf numFmtId="2" fontId="2" fillId="0" borderId="14" xfId="0" applyNumberFormat="1" applyFont="1" applyFill="1" applyBorder="1"/>
    <xf numFmtId="2" fontId="2" fillId="0" borderId="14" xfId="0" applyNumberFormat="1" applyFont="1" applyBorder="1"/>
    <xf numFmtId="0" fontId="0" fillId="6" borderId="17" xfId="0" applyFill="1" applyBorder="1"/>
    <xf numFmtId="0" fontId="16" fillId="0" borderId="16" xfId="0" applyFont="1" applyBorder="1"/>
    <xf numFmtId="0" fontId="16" fillId="0" borderId="17" xfId="0" applyFont="1" applyBorder="1"/>
    <xf numFmtId="0" fontId="16" fillId="0" borderId="18" xfId="0" applyFont="1" applyBorder="1"/>
    <xf numFmtId="0" fontId="16" fillId="0" borderId="17" xfId="0" applyFont="1" applyFill="1" applyBorder="1"/>
    <xf numFmtId="0" fontId="16" fillId="3" borderId="16" xfId="0" applyFont="1" applyFill="1" applyBorder="1"/>
    <xf numFmtId="0" fontId="16" fillId="3" borderId="17" xfId="0" applyFont="1" applyFill="1" applyBorder="1"/>
    <xf numFmtId="165" fontId="16" fillId="0" borderId="17" xfId="0" applyNumberFormat="1" applyFont="1" applyBorder="1"/>
    <xf numFmtId="2" fontId="16" fillId="0" borderId="17" xfId="0" applyNumberFormat="1" applyFont="1" applyFill="1" applyBorder="1"/>
    <xf numFmtId="2" fontId="16" fillId="0" borderId="17" xfId="0" applyNumberFormat="1" applyFont="1" applyBorder="1"/>
    <xf numFmtId="165" fontId="16" fillId="0" borderId="17" xfId="0" applyNumberFormat="1" applyFont="1" applyFill="1" applyBorder="1"/>
    <xf numFmtId="0" fontId="2" fillId="0" borderId="17" xfId="0" applyFont="1" applyBorder="1"/>
    <xf numFmtId="0" fontId="0" fillId="0" borderId="2" xfId="0" applyFill="1" applyBorder="1" applyAlignment="1">
      <alignment vertical="center" wrapText="1"/>
    </xf>
    <xf numFmtId="0" fontId="1" fillId="0" borderId="0" xfId="0" applyFont="1" applyFill="1"/>
    <xf numFmtId="0" fontId="0" fillId="0" borderId="17" xfId="0" applyBorder="1"/>
    <xf numFmtId="0" fontId="1" fillId="0" borderId="2" xfId="0" applyFont="1" applyBorder="1"/>
    <xf numFmtId="0" fontId="1" fillId="0" borderId="8" xfId="0" applyFont="1" applyBorder="1"/>
    <xf numFmtId="0" fontId="2" fillId="0" borderId="0" xfId="0" applyFont="1" applyBorder="1"/>
    <xf numFmtId="0" fontId="8" fillId="0" borderId="8" xfId="0" applyFont="1" applyBorder="1"/>
    <xf numFmtId="0" fontId="1" fillId="5" borderId="0" xfId="0" applyFont="1" applyFill="1"/>
    <xf numFmtId="0" fontId="1" fillId="5" borderId="1" xfId="0" applyFont="1" applyFill="1" applyBorder="1"/>
    <xf numFmtId="165" fontId="1" fillId="5" borderId="1" xfId="0" applyNumberFormat="1" applyFont="1" applyFill="1" applyBorder="1"/>
    <xf numFmtId="165" fontId="3" fillId="5" borderId="13" xfId="0" applyNumberFormat="1" applyFont="1" applyFill="1" applyBorder="1"/>
    <xf numFmtId="165" fontId="26" fillId="5" borderId="16" xfId="0" applyNumberFormat="1" applyFont="1" applyFill="1" applyBorder="1"/>
    <xf numFmtId="167" fontId="0" fillId="0" borderId="0" xfId="0" applyNumberFormat="1"/>
    <xf numFmtId="167" fontId="0" fillId="0" borderId="0" xfId="0" applyNumberFormat="1" applyFill="1"/>
    <xf numFmtId="0" fontId="0" fillId="0" borderId="22" xfId="0" applyBorder="1"/>
    <xf numFmtId="0" fontId="2" fillId="0" borderId="6" xfId="0" applyFont="1" applyBorder="1"/>
    <xf numFmtId="0" fontId="8" fillId="0" borderId="6" xfId="0" applyFont="1" applyBorder="1"/>
    <xf numFmtId="0" fontId="0" fillId="2" borderId="22" xfId="0" applyFill="1" applyBorder="1"/>
    <xf numFmtId="0" fontId="25" fillId="0" borderId="0" xfId="0" applyFont="1" applyFill="1"/>
    <xf numFmtId="0" fontId="10" fillId="0" borderId="0" xfId="0" applyFont="1" applyFill="1"/>
    <xf numFmtId="0" fontId="1" fillId="2" borderId="4" xfId="0" applyFont="1" applyFill="1" applyBorder="1"/>
    <xf numFmtId="0" fontId="28" fillId="0" borderId="0" xfId="0" applyFont="1" applyFill="1"/>
    <xf numFmtId="0" fontId="29" fillId="0" borderId="4" xfId="0" applyFont="1" applyBorder="1" applyAlignment="1">
      <alignment horizontal="left" vertical="center" readingOrder="1"/>
    </xf>
    <xf numFmtId="0" fontId="12" fillId="0" borderId="6" xfId="0" applyFont="1" applyBorder="1" applyAlignment="1">
      <alignment horizontal="left" vertical="center" readingOrder="1"/>
    </xf>
    <xf numFmtId="0" fontId="12" fillId="0" borderId="6" xfId="0" applyFont="1" applyBorder="1"/>
    <xf numFmtId="0" fontId="12" fillId="0" borderId="0" xfId="0" applyFont="1" applyBorder="1" applyAlignment="1">
      <alignment horizontal="left" vertical="center" readingOrder="1"/>
    </xf>
    <xf numFmtId="0" fontId="13" fillId="0" borderId="0" xfId="0" applyFont="1" applyBorder="1" applyAlignment="1">
      <alignment horizontal="left" vertical="center" readingOrder="1"/>
    </xf>
    <xf numFmtId="0" fontId="15" fillId="0" borderId="6" xfId="0" applyFont="1" applyBorder="1"/>
    <xf numFmtId="0" fontId="0" fillId="0" borderId="8" xfId="0" applyBorder="1"/>
    <xf numFmtId="0" fontId="13" fillId="0" borderId="2" xfId="0" applyFont="1" applyBorder="1" applyAlignment="1">
      <alignment horizontal="left" vertical="center" readingOrder="1"/>
    </xf>
    <xf numFmtId="0" fontId="12" fillId="0" borderId="2" xfId="0" applyFont="1" applyBorder="1" applyAlignment="1">
      <alignment horizontal="left" vertical="center" readingOrder="1"/>
    </xf>
    <xf numFmtId="0" fontId="0" fillId="0" borderId="9" xfId="0" applyBorder="1"/>
    <xf numFmtId="165" fontId="1" fillId="5" borderId="0" xfId="0" applyNumberFormat="1" applyFont="1" applyFill="1" applyBorder="1"/>
    <xf numFmtId="2" fontId="0" fillId="0" borderId="0" xfId="0" applyNumberFormat="1" applyFill="1" applyBorder="1"/>
    <xf numFmtId="2" fontId="0" fillId="0" borderId="0" xfId="0" applyNumberFormat="1" applyBorder="1"/>
    <xf numFmtId="0" fontId="0" fillId="0" borderId="21" xfId="0" applyBorder="1"/>
    <xf numFmtId="0" fontId="0" fillId="3" borderId="21" xfId="0" applyFill="1" applyBorder="1"/>
    <xf numFmtId="0" fontId="2" fillId="0" borderId="19" xfId="0" applyFont="1" applyBorder="1"/>
    <xf numFmtId="0" fontId="16" fillId="0" borderId="20" xfId="0" applyFont="1" applyBorder="1"/>
    <xf numFmtId="0" fontId="1" fillId="0" borderId="6" xfId="0" applyFont="1" applyBorder="1"/>
    <xf numFmtId="0" fontId="1" fillId="0" borderId="25" xfId="0" applyFont="1" applyBorder="1"/>
    <xf numFmtId="0" fontId="3" fillId="0" borderId="6" xfId="0" applyFont="1" applyBorder="1"/>
    <xf numFmtId="0" fontId="29" fillId="0" borderId="0" xfId="0" applyFont="1" applyBorder="1" applyAlignment="1">
      <alignment horizontal="left" vertical="center" readingOrder="1"/>
    </xf>
    <xf numFmtId="0" fontId="12" fillId="0" borderId="0" xfId="0" applyFont="1" applyBorder="1"/>
    <xf numFmtId="0" fontId="15" fillId="0" borderId="0" xfId="0" applyFont="1" applyBorder="1"/>
    <xf numFmtId="2" fontId="3" fillId="0" borderId="14" xfId="0" applyNumberFormat="1" applyFont="1" applyBorder="1"/>
    <xf numFmtId="0" fontId="37" fillId="0" borderId="0" xfId="0" applyFont="1" applyFill="1"/>
    <xf numFmtId="0" fontId="37" fillId="0" borderId="0" xfId="0" applyFont="1"/>
    <xf numFmtId="0" fontId="1" fillId="2" borderId="0" xfId="0" applyFont="1" applyFill="1"/>
    <xf numFmtId="168" fontId="0" fillId="0" borderId="0" xfId="0" applyNumberFormat="1" applyFill="1" applyBorder="1" applyAlignment="1">
      <alignment vertical="center" wrapText="1"/>
    </xf>
    <xf numFmtId="0" fontId="37" fillId="0" borderId="6" xfId="0" applyFont="1" applyBorder="1"/>
    <xf numFmtId="0" fontId="0" fillId="0" borderId="0" xfId="0" applyFont="1" applyFill="1"/>
    <xf numFmtId="0" fontId="4" fillId="6" borderId="0" xfId="0" applyFont="1" applyFill="1" applyBorder="1"/>
    <xf numFmtId="0" fontId="0" fillId="7" borderId="0" xfId="0" applyFill="1" applyBorder="1"/>
    <xf numFmtId="0" fontId="0" fillId="7" borderId="0" xfId="0" applyFill="1" applyBorder="1" applyAlignment="1">
      <alignment vertical="center" wrapText="1"/>
    </xf>
    <xf numFmtId="0" fontId="1" fillId="7" borderId="0" xfId="0" applyFont="1" applyFill="1" applyBorder="1"/>
    <xf numFmtId="0" fontId="1" fillId="7" borderId="0" xfId="0" applyFont="1" applyFill="1"/>
    <xf numFmtId="0" fontId="1" fillId="7" borderId="0" xfId="0" applyFont="1" applyFill="1" applyBorder="1" applyAlignment="1">
      <alignment vertical="center" wrapText="1"/>
    </xf>
    <xf numFmtId="0" fontId="0" fillId="7" borderId="0" xfId="0" applyFont="1" applyFill="1" applyBorder="1"/>
    <xf numFmtId="0" fontId="0" fillId="2" borderId="5" xfId="0" applyFill="1" applyBorder="1"/>
    <xf numFmtId="0" fontId="3" fillId="0" borderId="21" xfId="0" applyFont="1" applyFill="1" applyBorder="1"/>
    <xf numFmtId="0" fontId="3" fillId="0" borderId="10" xfId="0" applyFont="1" applyFill="1" applyBorder="1"/>
    <xf numFmtId="0" fontId="0" fillId="0" borderId="6" xfId="0" applyFont="1" applyBorder="1"/>
    <xf numFmtId="0" fontId="1" fillId="0" borderId="0" xfId="0" applyFont="1" applyFill="1" applyBorder="1" applyAlignment="1">
      <alignment vertical="center" wrapText="1"/>
    </xf>
    <xf numFmtId="0" fontId="0" fillId="0" borderId="6" xfId="0" applyFill="1" applyBorder="1"/>
    <xf numFmtId="0" fontId="12" fillId="0" borderId="0" xfId="0" applyFont="1" applyFill="1" applyBorder="1" applyAlignment="1">
      <alignment horizontal="left" vertical="center" readingOrder="1"/>
    </xf>
    <xf numFmtId="0" fontId="0" fillId="0" borderId="0" xfId="0" applyAlignment="1"/>
    <xf numFmtId="0" fontId="0" fillId="0" borderId="0" xfId="0" applyProtection="1">
      <protection locked="0"/>
    </xf>
    <xf numFmtId="0" fontId="1" fillId="0" borderId="0" xfId="0" applyFont="1" applyProtection="1">
      <protection locked="0"/>
    </xf>
    <xf numFmtId="167" fontId="0" fillId="0" borderId="0" xfId="0" applyNumberFormat="1" applyProtection="1">
      <protection locked="0"/>
    </xf>
    <xf numFmtId="0" fontId="0" fillId="2" borderId="0" xfId="0" applyFill="1" applyProtection="1">
      <protection locked="0"/>
    </xf>
    <xf numFmtId="0" fontId="0" fillId="14" borderId="0" xfId="0" applyFill="1" applyProtection="1">
      <protection locked="0"/>
    </xf>
    <xf numFmtId="0" fontId="0" fillId="8" borderId="0" xfId="0" applyFill="1" applyProtection="1">
      <protection locked="0"/>
    </xf>
    <xf numFmtId="0" fontId="0" fillId="15" borderId="0" xfId="0" applyFill="1" applyProtection="1">
      <protection locked="0"/>
    </xf>
    <xf numFmtId="0" fontId="0" fillId="0" borderId="0" xfId="0" applyBorder="1" applyProtection="1">
      <protection locked="0"/>
    </xf>
    <xf numFmtId="0" fontId="28" fillId="0" borderId="0" xfId="0" applyFont="1" applyFill="1" applyProtection="1">
      <protection locked="0"/>
    </xf>
    <xf numFmtId="0" fontId="0" fillId="0" borderId="0" xfId="0" applyFill="1" applyProtection="1">
      <protection locked="0"/>
    </xf>
    <xf numFmtId="0" fontId="0" fillId="4" borderId="0" xfId="0" applyFill="1" applyProtection="1">
      <protection locked="0"/>
    </xf>
    <xf numFmtId="167" fontId="0" fillId="4" borderId="0" xfId="0" applyNumberFormat="1" applyFill="1" applyProtection="1">
      <protection locked="0"/>
    </xf>
    <xf numFmtId="0" fontId="0" fillId="13" borderId="0" xfId="0" applyFill="1" applyProtection="1">
      <protection locked="0"/>
    </xf>
    <xf numFmtId="0" fontId="1" fillId="0" borderId="0" xfId="0" applyFont="1" applyFill="1" applyBorder="1" applyProtection="1">
      <protection locked="0"/>
    </xf>
    <xf numFmtId="0" fontId="0" fillId="0" borderId="0" xfId="0" applyFill="1" applyBorder="1" applyProtection="1">
      <protection locked="0"/>
    </xf>
    <xf numFmtId="167" fontId="0" fillId="0" borderId="0" xfId="0" applyNumberFormat="1" applyFill="1" applyBorder="1" applyProtection="1">
      <protection locked="0"/>
    </xf>
    <xf numFmtId="0" fontId="1" fillId="15" borderId="0" xfId="0" applyFont="1" applyFill="1" applyProtection="1">
      <protection locked="0"/>
    </xf>
    <xf numFmtId="0" fontId="13" fillId="0" borderId="0" xfId="0" applyFont="1" applyAlignment="1" applyProtection="1">
      <alignment horizontal="left" vertical="center" readingOrder="1"/>
      <protection locked="0"/>
    </xf>
    <xf numFmtId="0" fontId="12" fillId="0" borderId="0" xfId="0" applyFont="1" applyAlignment="1" applyProtection="1">
      <alignment horizontal="left" vertical="center" readingOrder="1"/>
      <protection locked="0"/>
    </xf>
    <xf numFmtId="0" fontId="17" fillId="0" borderId="0" xfId="0" applyFont="1" applyProtection="1">
      <protection locked="0"/>
    </xf>
    <xf numFmtId="167" fontId="0" fillId="0" borderId="0" xfId="0" applyNumberFormat="1" applyFill="1" applyProtection="1">
      <protection locked="0"/>
    </xf>
    <xf numFmtId="0" fontId="1" fillId="0" borderId="0" xfId="0" applyFont="1" applyFill="1" applyProtection="1">
      <protection locked="0"/>
    </xf>
    <xf numFmtId="2" fontId="3" fillId="14" borderId="14" xfId="0" applyNumberFormat="1" applyFont="1" applyFill="1" applyBorder="1" applyProtection="1">
      <protection locked="0"/>
    </xf>
    <xf numFmtId="0" fontId="4" fillId="0" borderId="0" xfId="0" applyFont="1" applyBorder="1" applyProtection="1">
      <protection locked="0"/>
    </xf>
    <xf numFmtId="0" fontId="4" fillId="0" borderId="0" xfId="0" applyFont="1" applyFill="1" applyBorder="1" applyProtection="1">
      <protection locked="0"/>
    </xf>
    <xf numFmtId="2" fontId="4" fillId="14" borderId="0" xfId="0" applyNumberFormat="1" applyFont="1" applyFill="1" applyProtection="1">
      <protection locked="0"/>
    </xf>
    <xf numFmtId="2" fontId="4" fillId="14" borderId="0" xfId="0" applyNumberFormat="1" applyFont="1" applyFill="1" applyBorder="1" applyProtection="1">
      <protection locked="0"/>
    </xf>
    <xf numFmtId="166" fontId="0" fillId="0" borderId="0" xfId="0" applyNumberFormat="1" applyProtection="1">
      <protection locked="0"/>
    </xf>
    <xf numFmtId="0" fontId="3" fillId="0" borderId="0" xfId="0" applyFont="1" applyBorder="1" applyProtection="1">
      <protection locked="0"/>
    </xf>
    <xf numFmtId="0" fontId="5" fillId="0" borderId="0" xfId="0" applyFont="1" applyProtection="1">
      <protection locked="0"/>
    </xf>
    <xf numFmtId="0" fontId="2" fillId="0" borderId="0" xfId="0" applyFont="1" applyProtection="1">
      <protection locked="0"/>
    </xf>
    <xf numFmtId="0" fontId="8" fillId="4" borderId="0" xfId="0" applyFont="1" applyFill="1" applyProtection="1">
      <protection locked="0"/>
    </xf>
    <xf numFmtId="0" fontId="4" fillId="4" borderId="0" xfId="0" applyFont="1" applyFill="1" applyProtection="1">
      <protection locked="0"/>
    </xf>
    <xf numFmtId="167" fontId="4" fillId="4" borderId="0" xfId="0" applyNumberFormat="1" applyFont="1" applyFill="1" applyProtection="1">
      <protection locked="0"/>
    </xf>
    <xf numFmtId="0" fontId="8" fillId="0" borderId="0" xfId="0" applyFont="1" applyFill="1" applyProtection="1">
      <protection locked="0"/>
    </xf>
    <xf numFmtId="0" fontId="4" fillId="0" borderId="0" xfId="0" applyFont="1" applyFill="1" applyProtection="1">
      <protection locked="0"/>
    </xf>
    <xf numFmtId="167" fontId="4" fillId="0" borderId="0" xfId="0" applyNumberFormat="1" applyFont="1" applyFill="1" applyProtection="1">
      <protection locked="0"/>
    </xf>
    <xf numFmtId="2" fontId="0" fillId="0" borderId="0" xfId="0" applyNumberFormat="1" applyProtection="1">
      <protection locked="0"/>
    </xf>
    <xf numFmtId="2" fontId="4" fillId="0" borderId="0" xfId="0" applyNumberFormat="1" applyFont="1" applyProtection="1">
      <protection locked="0"/>
    </xf>
    <xf numFmtId="0" fontId="3" fillId="0" borderId="0" xfId="0" applyFont="1" applyProtection="1"/>
    <xf numFmtId="0" fontId="1" fillId="0" borderId="0" xfId="0" applyFont="1" applyProtection="1"/>
    <xf numFmtId="0" fontId="1" fillId="0" borderId="0" xfId="0" applyFont="1" applyFill="1" applyBorder="1" applyProtection="1"/>
    <xf numFmtId="0" fontId="0" fillId="0" borderId="0" xfId="0" applyProtection="1"/>
    <xf numFmtId="0" fontId="1" fillId="0" borderId="0" xfId="0" applyFont="1" applyFill="1" applyProtection="1"/>
    <xf numFmtId="2" fontId="1" fillId="4" borderId="0" xfId="0" applyNumberFormat="1" applyFont="1" applyFill="1" applyProtection="1"/>
    <xf numFmtId="2" fontId="4" fillId="4" borderId="17" xfId="0" applyNumberFormat="1" applyFont="1" applyFill="1" applyBorder="1" applyProtection="1"/>
    <xf numFmtId="167" fontId="1" fillId="5" borderId="0" xfId="0" applyNumberFormat="1" applyFont="1" applyFill="1" applyProtection="1"/>
    <xf numFmtId="167" fontId="0" fillId="15" borderId="0" xfId="0" applyNumberFormat="1" applyFill="1" applyProtection="1"/>
    <xf numFmtId="166" fontId="0" fillId="15" borderId="0" xfId="0" applyNumberFormat="1" applyFill="1" applyProtection="1"/>
    <xf numFmtId="2" fontId="0" fillId="5" borderId="0" xfId="0" applyNumberFormat="1" applyFill="1" applyProtection="1"/>
    <xf numFmtId="166" fontId="0" fillId="8" borderId="0" xfId="0" applyNumberFormat="1" applyFill="1" applyProtection="1"/>
    <xf numFmtId="167" fontId="3" fillId="5" borderId="14" xfId="0" applyNumberFormat="1" applyFont="1" applyFill="1" applyBorder="1" applyProtection="1"/>
    <xf numFmtId="167" fontId="3" fillId="15" borderId="14" xfId="0" applyNumberFormat="1" applyFont="1" applyFill="1" applyBorder="1" applyProtection="1"/>
    <xf numFmtId="166" fontId="3" fillId="15" borderId="14" xfId="0" applyNumberFormat="1" applyFont="1" applyFill="1" applyBorder="1" applyProtection="1"/>
    <xf numFmtId="166" fontId="3" fillId="8" borderId="14" xfId="0" applyNumberFormat="1" applyFont="1" applyFill="1" applyBorder="1" applyProtection="1"/>
    <xf numFmtId="166" fontId="0" fillId="8" borderId="14" xfId="0" applyNumberFormat="1" applyFill="1" applyBorder="1" applyProtection="1"/>
    <xf numFmtId="167" fontId="4" fillId="5" borderId="17" xfId="0" applyNumberFormat="1" applyFont="1" applyFill="1" applyBorder="1" applyProtection="1"/>
    <xf numFmtId="167" fontId="8" fillId="5" borderId="17" xfId="0" applyNumberFormat="1" applyFont="1" applyFill="1" applyBorder="1" applyProtection="1"/>
    <xf numFmtId="167" fontId="4" fillId="15" borderId="17" xfId="0" applyNumberFormat="1" applyFont="1" applyFill="1" applyBorder="1" applyProtection="1"/>
    <xf numFmtId="166" fontId="4" fillId="15" borderId="17" xfId="0" applyNumberFormat="1" applyFont="1" applyFill="1" applyBorder="1" applyProtection="1"/>
    <xf numFmtId="166" fontId="0" fillId="8" borderId="17" xfId="0" applyNumberFormat="1" applyFill="1" applyBorder="1" applyProtection="1"/>
    <xf numFmtId="167" fontId="4" fillId="5" borderId="0" xfId="0" applyNumberFormat="1" applyFont="1" applyFill="1" applyBorder="1" applyProtection="1"/>
    <xf numFmtId="167" fontId="8" fillId="5" borderId="0" xfId="0" applyNumberFormat="1" applyFont="1" applyFill="1" applyBorder="1" applyProtection="1"/>
    <xf numFmtId="167" fontId="4" fillId="15" borderId="0" xfId="0" applyNumberFormat="1" applyFont="1" applyFill="1" applyBorder="1" applyProtection="1"/>
    <xf numFmtId="166" fontId="4" fillId="15" borderId="0" xfId="0" applyNumberFormat="1" applyFont="1" applyFill="1" applyBorder="1" applyProtection="1"/>
    <xf numFmtId="2" fontId="4" fillId="5" borderId="0" xfId="0" applyNumberFormat="1" applyFont="1" applyFill="1" applyProtection="1"/>
    <xf numFmtId="166" fontId="4" fillId="8" borderId="0" xfId="0" applyNumberFormat="1" applyFont="1" applyFill="1" applyProtection="1"/>
    <xf numFmtId="2" fontId="0" fillId="4" borderId="0" xfId="0" applyNumberFormat="1" applyFill="1" applyProtection="1"/>
    <xf numFmtId="166" fontId="0" fillId="5" borderId="0" xfId="0" applyNumberFormat="1" applyFill="1" applyProtection="1"/>
    <xf numFmtId="2" fontId="0" fillId="17" borderId="0" xfId="0" applyNumberFormat="1" applyFill="1" applyProtection="1"/>
    <xf numFmtId="2" fontId="4" fillId="4" borderId="0" xfId="0" applyNumberFormat="1" applyFont="1" applyFill="1" applyProtection="1"/>
    <xf numFmtId="166" fontId="4" fillId="5" borderId="0" xfId="0" applyNumberFormat="1" applyFont="1" applyFill="1" applyProtection="1"/>
    <xf numFmtId="166" fontId="4" fillId="15" borderId="0" xfId="0" applyNumberFormat="1" applyFont="1" applyFill="1" applyProtection="1"/>
    <xf numFmtId="2" fontId="4" fillId="17" borderId="0" xfId="0" applyNumberFormat="1" applyFont="1" applyFill="1" applyProtection="1"/>
    <xf numFmtId="0" fontId="1" fillId="2" borderId="6" xfId="0" applyFont="1"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vertical="center" wrapText="1"/>
      <protection locked="0"/>
    </xf>
    <xf numFmtId="0" fontId="8" fillId="0" borderId="0" xfId="0" applyFont="1" applyProtection="1"/>
    <xf numFmtId="0" fontId="4" fillId="0" borderId="0" xfId="0" applyFont="1" applyProtection="1"/>
    <xf numFmtId="0" fontId="0" fillId="0" borderId="0" xfId="0" applyBorder="1" applyAlignment="1" applyProtection="1">
      <alignment vertical="center" wrapText="1"/>
    </xf>
    <xf numFmtId="0" fontId="0" fillId="0" borderId="0" xfId="0" applyFill="1" applyBorder="1" applyAlignment="1" applyProtection="1">
      <alignment vertical="center" wrapText="1"/>
    </xf>
    <xf numFmtId="0" fontId="0" fillId="3" borderId="0" xfId="0" applyFill="1" applyBorder="1" applyProtection="1"/>
    <xf numFmtId="0" fontId="0" fillId="0" borderId="0" xfId="0" applyFill="1" applyBorder="1" applyProtection="1"/>
    <xf numFmtId="0" fontId="33" fillId="10" borderId="0" xfId="0" applyFont="1" applyFill="1" applyBorder="1" applyProtection="1"/>
    <xf numFmtId="0" fontId="10" fillId="8" borderId="0" xfId="0" applyFont="1" applyFill="1" applyProtection="1"/>
    <xf numFmtId="0" fontId="0" fillId="3" borderId="0" xfId="0" applyFill="1" applyProtection="1"/>
    <xf numFmtId="167" fontId="0" fillId="0" borderId="0" xfId="0" applyNumberFormat="1" applyFill="1" applyBorder="1" applyProtection="1"/>
    <xf numFmtId="0" fontId="1" fillId="3" borderId="0" xfId="0" applyFont="1" applyFill="1" applyProtection="1"/>
    <xf numFmtId="0" fontId="0" fillId="10" borderId="6" xfId="0" applyFill="1" applyBorder="1" applyProtection="1"/>
    <xf numFmtId="0" fontId="0" fillId="10" borderId="7" xfId="0" applyFill="1" applyBorder="1" applyProtection="1"/>
    <xf numFmtId="165" fontId="0" fillId="0" borderId="0" xfId="0" applyNumberFormat="1" applyFill="1" applyBorder="1" applyProtection="1"/>
    <xf numFmtId="0" fontId="0" fillId="8" borderId="6" xfId="0" applyFill="1" applyBorder="1" applyProtection="1"/>
    <xf numFmtId="0" fontId="0" fillId="8" borderId="7" xfId="0" applyFill="1" applyBorder="1" applyProtection="1"/>
    <xf numFmtId="0" fontId="0" fillId="0" borderId="3" xfId="0" applyBorder="1" applyProtection="1">
      <protection locked="0"/>
    </xf>
    <xf numFmtId="0" fontId="3" fillId="0" borderId="3" xfId="0" applyFont="1" applyBorder="1" applyProtection="1"/>
    <xf numFmtId="0" fontId="1" fillId="0" borderId="3" xfId="0" applyFont="1" applyBorder="1" applyProtection="1"/>
    <xf numFmtId="0" fontId="1" fillId="0" borderId="3" xfId="0" applyFont="1" applyFill="1" applyBorder="1" applyProtection="1"/>
    <xf numFmtId="0" fontId="0" fillId="0" borderId="3" xfId="0" applyBorder="1" applyProtection="1"/>
    <xf numFmtId="0" fontId="0" fillId="0" borderId="3" xfId="0" applyFont="1" applyBorder="1" applyProtection="1"/>
    <xf numFmtId="0" fontId="0" fillId="0" borderId="18" xfId="0" applyBorder="1" applyProtection="1"/>
    <xf numFmtId="0" fontId="0" fillId="0" borderId="25" xfId="0" applyBorder="1"/>
    <xf numFmtId="0" fontId="3" fillId="0" borderId="15" xfId="0" applyFont="1" applyBorder="1" applyProtection="1"/>
    <xf numFmtId="0" fontId="8" fillId="2" borderId="14" xfId="0" applyFont="1" applyFill="1" applyBorder="1" applyProtection="1"/>
    <xf numFmtId="0" fontId="1" fillId="2" borderId="0" xfId="0" applyFont="1" applyFill="1" applyBorder="1" applyProtection="1"/>
    <xf numFmtId="0" fontId="1" fillId="15" borderId="0" xfId="0" applyFont="1" applyFill="1" applyProtection="1"/>
    <xf numFmtId="0" fontId="0" fillId="15" borderId="0" xfId="0" applyFill="1" applyProtection="1"/>
    <xf numFmtId="0" fontId="0" fillId="8" borderId="0" xfId="0" applyFill="1" applyProtection="1"/>
    <xf numFmtId="0" fontId="0" fillId="5" borderId="0" xfId="0" applyFill="1" applyProtection="1"/>
    <xf numFmtId="167" fontId="0" fillId="5" borderId="0" xfId="0" applyNumberFormat="1" applyFill="1" applyBorder="1" applyProtection="1"/>
    <xf numFmtId="0" fontId="0" fillId="5" borderId="0" xfId="0" applyFill="1" applyBorder="1" applyProtection="1"/>
    <xf numFmtId="0" fontId="0" fillId="8" borderId="25" xfId="0" applyFill="1" applyBorder="1" applyProtection="1"/>
    <xf numFmtId="0" fontId="0" fillId="8" borderId="24" xfId="0" applyFill="1" applyBorder="1" applyProtection="1"/>
    <xf numFmtId="0" fontId="0" fillId="6" borderId="3" xfId="0" applyFill="1" applyBorder="1"/>
    <xf numFmtId="0" fontId="1" fillId="6" borderId="3" xfId="0" applyFont="1" applyFill="1" applyBorder="1"/>
    <xf numFmtId="0" fontId="44" fillId="6" borderId="3" xfId="0" applyFont="1" applyFill="1" applyBorder="1"/>
    <xf numFmtId="0" fontId="34" fillId="6" borderId="0" xfId="0" applyFont="1" applyFill="1"/>
    <xf numFmtId="0" fontId="0" fillId="2" borderId="3" xfId="0" applyFill="1" applyBorder="1" applyProtection="1">
      <protection locked="0"/>
    </xf>
    <xf numFmtId="0" fontId="0" fillId="2" borderId="17" xfId="0" applyFill="1" applyBorder="1" applyProtection="1">
      <protection locked="0"/>
    </xf>
    <xf numFmtId="0" fontId="0" fillId="2" borderId="18" xfId="0" applyFill="1" applyBorder="1" applyProtection="1">
      <protection locked="0"/>
    </xf>
    <xf numFmtId="0" fontId="0" fillId="2" borderId="0" xfId="0" applyFill="1" applyBorder="1" applyProtection="1">
      <protection locked="0"/>
    </xf>
    <xf numFmtId="0" fontId="1" fillId="0" borderId="6" xfId="0" applyFont="1" applyBorder="1" applyProtection="1"/>
    <xf numFmtId="0" fontId="1" fillId="0" borderId="7" xfId="0" applyFont="1" applyBorder="1" applyProtection="1"/>
    <xf numFmtId="0" fontId="3" fillId="0" borderId="0" xfId="0" applyFont="1" applyBorder="1" applyProtection="1"/>
    <xf numFmtId="0" fontId="0" fillId="0" borderId="14" xfId="0" applyBorder="1" applyProtection="1"/>
    <xf numFmtId="168" fontId="0" fillId="12" borderId="0" xfId="0" applyNumberFormat="1" applyFill="1" applyBorder="1"/>
    <xf numFmtId="168" fontId="0" fillId="12" borderId="17" xfId="0" applyNumberFormat="1" applyFill="1" applyBorder="1"/>
    <xf numFmtId="168" fontId="1" fillId="12" borderId="0" xfId="0" applyNumberFormat="1" applyFont="1" applyFill="1" applyBorder="1" applyAlignment="1">
      <alignment vertical="center" wrapText="1"/>
    </xf>
    <xf numFmtId="0" fontId="3" fillId="12" borderId="21" xfId="0" applyFont="1" applyFill="1" applyBorder="1"/>
    <xf numFmtId="0" fontId="0" fillId="12" borderId="2" xfId="0" applyFill="1" applyBorder="1" applyAlignment="1">
      <alignment vertical="center" wrapText="1"/>
    </xf>
    <xf numFmtId="0" fontId="3" fillId="12" borderId="10" xfId="0" applyFont="1" applyFill="1" applyBorder="1"/>
    <xf numFmtId="0" fontId="1" fillId="12" borderId="5" xfId="0" applyFont="1" applyFill="1" applyBorder="1" applyAlignment="1">
      <alignment vertical="center" wrapText="1"/>
    </xf>
    <xf numFmtId="0" fontId="1" fillId="12" borderId="24" xfId="0" applyFont="1" applyFill="1" applyBorder="1" applyAlignment="1">
      <alignment vertical="center" wrapText="1"/>
    </xf>
    <xf numFmtId="0" fontId="34" fillId="12" borderId="7" xfId="0" applyFont="1" applyFill="1" applyBorder="1" applyAlignment="1">
      <alignment vertical="center" wrapText="1"/>
    </xf>
    <xf numFmtId="0" fontId="2" fillId="12" borderId="23" xfId="0" applyFont="1" applyFill="1" applyBorder="1" applyAlignment="1">
      <alignment vertical="center" wrapText="1"/>
    </xf>
    <xf numFmtId="0" fontId="2" fillId="12" borderId="18" xfId="0" applyFont="1" applyFill="1" applyBorder="1"/>
    <xf numFmtId="0" fontId="1" fillId="0" borderId="0" xfId="0" applyFont="1" applyBorder="1" applyProtection="1"/>
    <xf numFmtId="0" fontId="0" fillId="0" borderId="3" xfId="0" applyFill="1" applyBorder="1" applyProtection="1">
      <protection locked="0"/>
    </xf>
    <xf numFmtId="0" fontId="0" fillId="2" borderId="14" xfId="0" applyFill="1" applyBorder="1"/>
    <xf numFmtId="0" fontId="1" fillId="2" borderId="0" xfId="0" applyFont="1" applyFill="1" applyProtection="1">
      <protection locked="0"/>
    </xf>
    <xf numFmtId="0" fontId="1" fillId="2" borderId="3" xfId="0" applyFont="1" applyFill="1" applyBorder="1" applyProtection="1">
      <protection locked="0"/>
    </xf>
    <xf numFmtId="166" fontId="3" fillId="5" borderId="14" xfId="0" applyNumberFormat="1" applyFont="1" applyFill="1" applyBorder="1" applyProtection="1"/>
    <xf numFmtId="166" fontId="0" fillId="5" borderId="17" xfId="0" applyNumberFormat="1" applyFill="1" applyBorder="1" applyProtection="1"/>
    <xf numFmtId="0" fontId="3" fillId="0" borderId="25" xfId="0" applyFont="1" applyBorder="1"/>
    <xf numFmtId="0" fontId="34" fillId="12" borderId="24" xfId="0" applyFont="1" applyFill="1" applyBorder="1" applyAlignment="1">
      <alignment vertical="center" wrapText="1"/>
    </xf>
    <xf numFmtId="0" fontId="0" fillId="0" borderId="27" xfId="0" applyBorder="1"/>
    <xf numFmtId="14" fontId="0" fillId="0" borderId="0" xfId="0" applyNumberFormat="1"/>
    <xf numFmtId="0" fontId="1" fillId="2" borderId="7" xfId="0" applyFont="1" applyFill="1" applyBorder="1" applyProtection="1">
      <protection locked="0"/>
    </xf>
    <xf numFmtId="0" fontId="0" fillId="2" borderId="7" xfId="0" applyFill="1" applyBorder="1" applyProtection="1">
      <protection locked="0"/>
    </xf>
    <xf numFmtId="0" fontId="0" fillId="2" borderId="7" xfId="0" applyFill="1" applyBorder="1" applyAlignment="1" applyProtection="1">
      <alignment vertical="center" wrapText="1"/>
      <protection locked="0"/>
    </xf>
    <xf numFmtId="169" fontId="0" fillId="0" borderId="0" xfId="0" applyNumberFormat="1" applyProtection="1">
      <protection locked="0"/>
    </xf>
    <xf numFmtId="0" fontId="0" fillId="3" borderId="0" xfId="0" applyFill="1" applyBorder="1" applyAlignment="1">
      <alignment vertical="center" wrapText="1"/>
    </xf>
    <xf numFmtId="0" fontId="0" fillId="3" borderId="17" xfId="0" applyFill="1" applyBorder="1" applyAlignment="1">
      <alignment vertical="center" wrapText="1"/>
    </xf>
    <xf numFmtId="0" fontId="1" fillId="3" borderId="0" xfId="0" applyFont="1" applyFill="1" applyBorder="1" applyAlignment="1">
      <alignment vertical="center" wrapText="1"/>
    </xf>
    <xf numFmtId="0" fontId="0" fillId="3" borderId="2" xfId="0" applyFill="1" applyBorder="1" applyAlignment="1">
      <alignment vertical="center" wrapText="1"/>
    </xf>
    <xf numFmtId="0" fontId="3" fillId="3" borderId="0" xfId="0" applyFont="1" applyFill="1" applyBorder="1" applyAlignment="1">
      <alignment vertical="center" wrapText="1"/>
    </xf>
    <xf numFmtId="0" fontId="37" fillId="12" borderId="0" xfId="0" applyFont="1" applyFill="1"/>
    <xf numFmtId="0" fontId="45" fillId="0" borderId="2" xfId="0" applyFont="1" applyFill="1" applyBorder="1"/>
    <xf numFmtId="0" fontId="27" fillId="0" borderId="2" xfId="0" applyFont="1" applyFill="1" applyBorder="1"/>
    <xf numFmtId="0" fontId="37" fillId="0" borderId="0" xfId="0" applyFont="1" applyProtection="1"/>
    <xf numFmtId="167" fontId="0" fillId="0" borderId="0" xfId="0" applyNumberFormat="1" applyProtection="1"/>
    <xf numFmtId="0" fontId="36" fillId="0" borderId="0" xfId="0" applyFont="1" applyProtection="1"/>
    <xf numFmtId="0" fontId="1" fillId="12" borderId="0" xfId="0" applyFont="1" applyFill="1" applyProtection="1"/>
    <xf numFmtId="0" fontId="0" fillId="12" borderId="0" xfId="0" applyFill="1" applyProtection="1"/>
    <xf numFmtId="0" fontId="0" fillId="0" borderId="0" xfId="0" applyFill="1" applyProtection="1"/>
    <xf numFmtId="0" fontId="0" fillId="16" borderId="0" xfId="0" applyFill="1" applyProtection="1"/>
    <xf numFmtId="0" fontId="37" fillId="0" borderId="0" xfId="0" applyFont="1" applyFill="1" applyProtection="1"/>
    <xf numFmtId="0" fontId="1" fillId="0" borderId="2" xfId="0" applyFont="1" applyFill="1" applyBorder="1" applyProtection="1"/>
    <xf numFmtId="0" fontId="1" fillId="0" borderId="4" xfId="0" applyFont="1" applyBorder="1" applyProtection="1"/>
    <xf numFmtId="0" fontId="1" fillId="0" borderId="5" xfId="0" applyFont="1" applyBorder="1" applyProtection="1"/>
    <xf numFmtId="167" fontId="1" fillId="0" borderId="0" xfId="0" applyNumberFormat="1" applyFont="1" applyFill="1" applyBorder="1" applyProtection="1"/>
    <xf numFmtId="0" fontId="1" fillId="12" borderId="6" xfId="0" applyFont="1" applyFill="1" applyBorder="1" applyProtection="1"/>
    <xf numFmtId="0" fontId="1" fillId="12" borderId="7" xfId="0" applyFont="1" applyFill="1" applyBorder="1" applyProtection="1"/>
    <xf numFmtId="167" fontId="0" fillId="0" borderId="0" xfId="0" applyNumberFormat="1" applyFill="1" applyBorder="1" applyAlignment="1" applyProtection="1">
      <alignment vertical="center" wrapText="1"/>
    </xf>
    <xf numFmtId="11" fontId="0" fillId="0" borderId="0" xfId="0" applyNumberFormat="1" applyProtection="1"/>
    <xf numFmtId="0" fontId="1" fillId="8" borderId="6" xfId="0" applyFont="1" applyFill="1" applyBorder="1" applyProtection="1"/>
    <xf numFmtId="0" fontId="1" fillId="8" borderId="7" xfId="0" applyFont="1" applyFill="1" applyBorder="1" applyProtection="1"/>
    <xf numFmtId="0" fontId="8" fillId="0" borderId="26" xfId="0" applyFont="1" applyBorder="1" applyProtection="1"/>
    <xf numFmtId="0" fontId="8" fillId="0" borderId="14" xfId="0" applyFont="1" applyBorder="1" applyProtection="1"/>
    <xf numFmtId="167" fontId="8" fillId="0" borderId="0" xfId="0" applyNumberFormat="1" applyFont="1" applyFill="1" applyBorder="1" applyProtection="1"/>
    <xf numFmtId="166" fontId="0" fillId="0" borderId="0" xfId="0" applyNumberFormat="1" applyFill="1" applyProtection="1"/>
    <xf numFmtId="167" fontId="8" fillId="0" borderId="22" xfId="0" applyNumberFormat="1" applyFont="1" applyFill="1" applyBorder="1" applyProtection="1"/>
    <xf numFmtId="0" fontId="0" fillId="0" borderId="22" xfId="0" applyBorder="1" applyProtection="1"/>
    <xf numFmtId="0" fontId="1" fillId="12" borderId="0" xfId="0" applyFont="1" applyFill="1" applyBorder="1" applyProtection="1"/>
    <xf numFmtId="167" fontId="0" fillId="0" borderId="0" xfId="0" applyNumberFormat="1" applyBorder="1" applyProtection="1"/>
    <xf numFmtId="0" fontId="0" fillId="0" borderId="0" xfId="0" applyBorder="1" applyProtection="1"/>
    <xf numFmtId="0" fontId="1" fillId="0" borderId="8" xfId="0" applyFont="1" applyBorder="1" applyProtection="1"/>
    <xf numFmtId="0" fontId="1" fillId="12" borderId="2" xfId="0" applyFont="1" applyFill="1" applyBorder="1" applyProtection="1"/>
    <xf numFmtId="167" fontId="0" fillId="0" borderId="2" xfId="0" applyNumberFormat="1" applyBorder="1" applyProtection="1"/>
    <xf numFmtId="0" fontId="0" fillId="0" borderId="2" xfId="0" applyBorder="1" applyProtection="1"/>
    <xf numFmtId="17" fontId="0" fillId="0" borderId="0" xfId="0" applyNumberFormat="1"/>
    <xf numFmtId="167" fontId="0" fillId="0" borderId="0" xfId="0" applyNumberFormat="1" applyFill="1" applyBorder="1"/>
    <xf numFmtId="167" fontId="2" fillId="0" borderId="14" xfId="0" applyNumberFormat="1" applyFont="1" applyBorder="1"/>
    <xf numFmtId="167" fontId="16" fillId="0" borderId="17" xfId="0" applyNumberFormat="1" applyFont="1" applyBorder="1"/>
    <xf numFmtId="167" fontId="0" fillId="0" borderId="0" xfId="0" applyNumberFormat="1" applyBorder="1"/>
    <xf numFmtId="165" fontId="0" fillId="0" borderId="0" xfId="0" applyNumberFormat="1" applyProtection="1">
      <protection locked="0"/>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Parameter sets</a:t>
            </a:r>
            <a:r>
              <a:rPr lang="en-US" baseline="0"/>
              <a:t> effects:</a:t>
            </a:r>
          </a:p>
          <a:p>
            <a:pPr>
              <a:defRPr/>
            </a:pPr>
            <a:r>
              <a:rPr lang="el-GR" sz="1400" b="1" i="0" baseline="0">
                <a:effectLst/>
              </a:rPr>
              <a:t>Δ</a:t>
            </a:r>
            <a:r>
              <a:rPr lang="en-US" sz="1400" b="1" i="0" baseline="-25000">
                <a:effectLst/>
              </a:rPr>
              <a:t>47</a:t>
            </a:r>
            <a:r>
              <a:rPr lang="en-US" sz="1400" b="1" i="0" baseline="0">
                <a:effectLst/>
              </a:rPr>
              <a:t> (</a:t>
            </a:r>
            <a:r>
              <a:rPr lang="el-GR" sz="1400" b="1" i="0" u="none" strike="noStrike" baseline="0">
                <a:effectLst/>
              </a:rPr>
              <a:t>δ</a:t>
            </a:r>
            <a:r>
              <a:rPr lang="en-US" sz="1400" b="1" i="0" u="none" strike="noStrike" baseline="30000">
                <a:effectLst/>
              </a:rPr>
              <a:t>47</a:t>
            </a:r>
            <a:r>
              <a:rPr lang="en-US" sz="1400" b="1" i="0" u="none" strike="noStrike" baseline="0">
                <a:effectLst/>
              </a:rPr>
              <a:t> </a:t>
            </a:r>
            <a:r>
              <a:rPr lang="en-US" sz="1400" b="1" i="0" baseline="0">
                <a:effectLst/>
              </a:rPr>
              <a:t>corrected) vs </a:t>
            </a:r>
            <a:r>
              <a:rPr lang="el-GR" sz="1400" b="1" i="0" u="none" strike="noStrike" baseline="0">
                <a:effectLst/>
              </a:rPr>
              <a:t>δ</a:t>
            </a:r>
            <a:r>
              <a:rPr lang="en-US" sz="1400" b="1" i="0" u="none" strike="noStrike" baseline="30000">
                <a:effectLst/>
              </a:rPr>
              <a:t>47</a:t>
            </a:r>
            <a:r>
              <a:rPr lang="en-US" sz="1400" b="1" i="0" u="none" strike="noStrike" baseline="0">
                <a:effectLst/>
              </a:rPr>
              <a:t> </a:t>
            </a:r>
            <a:endParaRPr lang="en-US" sz="1400">
              <a:effectLst/>
            </a:endParaRPr>
          </a:p>
        </c:rich>
      </c:tx>
      <c:overlay val="0"/>
    </c:title>
    <c:autoTitleDeleted val="0"/>
    <c:plotArea>
      <c:layout>
        <c:manualLayout>
          <c:layoutTarget val="inner"/>
          <c:xMode val="edge"/>
          <c:yMode val="edge"/>
          <c:x val="0.1786663580485966"/>
          <c:y val="0.25697094052168562"/>
          <c:w val="0.57745321145605799"/>
          <c:h val="0.54213137038651926"/>
        </c:manualLayout>
      </c:layout>
      <c:scatterChart>
        <c:scatterStyle val="lineMarker"/>
        <c:varyColors val="0"/>
        <c:ser>
          <c:idx val="0"/>
          <c:order val="0"/>
          <c:tx>
            <c:strRef>
              <c:f>'datapoints-plots'!$I$6</c:f>
              <c:strCache>
                <c:ptCount val="1"/>
                <c:pt idx="0">
                  <c:v>Δ47, slope corr.</c:v>
                </c:pt>
              </c:strCache>
            </c:strRef>
          </c:tx>
          <c:spPr>
            <a:ln w="28575">
              <a:noFill/>
            </a:ln>
          </c:spPr>
          <c:xVal>
            <c:numRef>
              <c:f>'datapoints-plots'!$F$10:$F$45</c:f>
              <c:numCache>
                <c:formatCode>0.0000</c:formatCode>
                <c:ptCount val="36"/>
                <c:pt idx="0">
                  <c:v>-0.39967691698483687</c:v>
                </c:pt>
                <c:pt idx="1">
                  <c:v>9.7732697658741152</c:v>
                </c:pt>
                <c:pt idx="2">
                  <c:v>14.860745353233673</c:v>
                </c:pt>
                <c:pt idx="3">
                  <c:v>19.948887028093274</c:v>
                </c:pt>
                <c:pt idx="4">
                  <c:v>40.30808390285312</c:v>
                </c:pt>
                <c:pt idx="5">
                  <c:v>50.491639261183387</c:v>
                </c:pt>
                <c:pt idx="6">
                  <c:v>40.345006169431045</c:v>
                </c:pt>
                <c:pt idx="7">
                  <c:v>30.25808562051191</c:v>
                </c:pt>
                <c:pt idx="8">
                  <c:v>20.17379900320071</c:v>
                </c:pt>
                <c:pt idx="9">
                  <c:v>10.09215835791899</c:v>
                </c:pt>
                <c:pt idx="10">
                  <c:v>1.3175898417427945E-2</c:v>
                </c:pt>
                <c:pt idx="11">
                  <c:v>-10.06313598399322</c:v>
                </c:pt>
                <c:pt idx="12">
                  <c:v>30.19837308689177</c:v>
                </c:pt>
                <c:pt idx="13">
                  <c:v>20.208087347209911</c:v>
                </c:pt>
                <c:pt idx="14">
                  <c:v>10.220435536924866</c:v>
                </c:pt>
                <c:pt idx="15">
                  <c:v>0.23542969643974843</c:v>
                </c:pt>
                <c:pt idx="16">
                  <c:v>-9.7469179605136347</c:v>
                </c:pt>
                <c:pt idx="17">
                  <c:v>-19.726595042643623</c:v>
                </c:pt>
                <c:pt idx="18">
                  <c:v>20.05174001356913</c:v>
                </c:pt>
                <c:pt idx="19">
                  <c:v>10.158089082950239</c:v>
                </c:pt>
                <c:pt idx="20">
                  <c:v>0.26707207951814915</c:v>
                </c:pt>
                <c:pt idx="21">
                  <c:v>-9.6212989563408957</c:v>
                </c:pt>
                <c:pt idx="22">
                  <c:v>-19.507011810915408</c:v>
                </c:pt>
                <c:pt idx="23">
                  <c:v>-29.390054092933049</c:v>
                </c:pt>
                <c:pt idx="24">
                  <c:v>9.9051069494664468</c:v>
                </c:pt>
                <c:pt idx="25">
                  <c:v>0.1080908277355519</c:v>
                </c:pt>
                <c:pt idx="26">
                  <c:v>-9.6862913690157768</c:v>
                </c:pt>
                <c:pt idx="27">
                  <c:v>-19.478027600420834</c:v>
                </c:pt>
                <c:pt idx="28">
                  <c:v>-29.267105652786118</c:v>
                </c:pt>
                <c:pt idx="29">
                  <c:v>-39.053513134858832</c:v>
                </c:pt>
                <c:pt idx="30">
                  <c:v>-0.24152610541328112</c:v>
                </c:pt>
                <c:pt idx="31">
                  <c:v>-9.9419074184309295</c:v>
                </c:pt>
                <c:pt idx="32">
                  <c:v>-19.639654808674798</c:v>
                </c:pt>
                <c:pt idx="33">
                  <c:v>-29.334756235796956</c:v>
                </c:pt>
                <c:pt idx="34">
                  <c:v>-39.027199486122655</c:v>
                </c:pt>
                <c:pt idx="35">
                  <c:v>-48.716972168418749</c:v>
                </c:pt>
              </c:numCache>
            </c:numRef>
          </c:xVal>
          <c:yVal>
            <c:numRef>
              <c:f>'datapoints-plots'!$I$10:$I$45</c:f>
              <c:numCache>
                <c:formatCode>0.000</c:formatCode>
                <c:ptCount val="36"/>
                <c:pt idx="0">
                  <c:v>-0.41022009615012928</c:v>
                </c:pt>
                <c:pt idx="1">
                  <c:v>-0.40912814028149624</c:v>
                </c:pt>
                <c:pt idx="2">
                  <c:v>-0.40858336512103077</c:v>
                </c:pt>
                <c:pt idx="3">
                  <c:v>-0.40803938522250449</c:v>
                </c:pt>
                <c:pt idx="4">
                  <c:v>-0.40587132131051368</c:v>
                </c:pt>
                <c:pt idx="5">
                  <c:v>-0.40479193623513154</c:v>
                </c:pt>
                <c:pt idx="6">
                  <c:v>-0.40373229654060333</c:v>
                </c:pt>
                <c:pt idx="7">
                  <c:v>-0.40481670711584944</c:v>
                </c:pt>
                <c:pt idx="8">
                  <c:v>-0.40590424969458039</c:v>
                </c:pt>
                <c:pt idx="9">
                  <c:v>-0.40699496275742375</c:v>
                </c:pt>
                <c:pt idx="10">
                  <c:v>-0.4080888855500443</c:v>
                </c:pt>
                <c:pt idx="11">
                  <c:v>-0.40918605809866754</c:v>
                </c:pt>
                <c:pt idx="12">
                  <c:v>-0.40264125750055596</c:v>
                </c:pt>
                <c:pt idx="13">
                  <c:v>-0.40373083579646213</c:v>
                </c:pt>
                <c:pt idx="14">
                  <c:v>-0.40482359356006509</c:v>
                </c:pt>
                <c:pt idx="15">
                  <c:v>-0.40591957002583434</c:v>
                </c:pt>
                <c:pt idx="16">
                  <c:v>-0.40701880521115136</c:v>
                </c:pt>
                <c:pt idx="17">
                  <c:v>-0.40812133993616273</c:v>
                </c:pt>
                <c:pt idx="18">
                  <c:v>-0.40151788109632652</c:v>
                </c:pt>
                <c:pt idx="19">
                  <c:v>-0.40261277341187107</c:v>
                </c:pt>
                <c:pt idx="20">
                  <c:v>-0.40371089348699557</c:v>
                </c:pt>
                <c:pt idx="21">
                  <c:v>-0.40481228131844921</c:v>
                </c:pt>
                <c:pt idx="22">
                  <c:v>-0.40591697771131729</c:v>
                </c:pt>
                <c:pt idx="23">
                  <c:v>-0.40702502429065862</c:v>
                </c:pt>
                <c:pt idx="24">
                  <c:v>-0.40036119160463496</c:v>
                </c:pt>
                <c:pt idx="25">
                  <c:v>-0.40146154847751675</c:v>
                </c:pt>
                <c:pt idx="26">
                  <c:v>-0.40256518225096011</c:v>
                </c:pt>
                <c:pt idx="27">
                  <c:v>-0.40367213370186855</c:v>
                </c:pt>
                <c:pt idx="28">
                  <c:v>-0.40478244442980355</c:v>
                </c:pt>
                <c:pt idx="29">
                  <c:v>-0.4058961568817227</c:v>
                </c:pt>
                <c:pt idx="30">
                  <c:v>-0.39917017368544699</c:v>
                </c:pt>
                <c:pt idx="31">
                  <c:v>-0.40027615005251249</c:v>
                </c:pt>
                <c:pt idx="32">
                  <c:v>-0.40138545334130599</c:v>
                </c:pt>
                <c:pt idx="33">
                  <c:v>-0.40249812511798916</c:v>
                </c:pt>
                <c:pt idx="34">
                  <c:v>-0.403614207793697</c:v>
                </c:pt>
                <c:pt idx="35">
                  <c:v>-0.40473374464650064</c:v>
                </c:pt>
              </c:numCache>
            </c:numRef>
          </c:yVal>
          <c:smooth val="0"/>
          <c:extLst>
            <c:ext xmlns:c16="http://schemas.microsoft.com/office/drawing/2014/chart" uri="{C3380CC4-5D6E-409C-BE32-E72D297353CC}">
              <c16:uniqueId val="{00000000-B6F6-48EE-8748-D53D88664AD4}"/>
            </c:ext>
          </c:extLst>
        </c:ser>
        <c:ser>
          <c:idx val="1"/>
          <c:order val="1"/>
          <c:tx>
            <c:strRef>
              <c:f>'datapoints-plots'!$C$8</c:f>
              <c:strCache>
                <c:ptCount val="1"/>
                <c:pt idx="0">
                  <c:v>single point w/modifications</c:v>
                </c:pt>
              </c:strCache>
            </c:strRef>
          </c:tx>
          <c:spPr>
            <a:ln w="28575">
              <a:noFill/>
            </a:ln>
          </c:spPr>
          <c:marker>
            <c:spPr>
              <a:noFill/>
            </c:spPr>
          </c:marker>
          <c:xVal>
            <c:numRef>
              <c:f>'datapoints-plots'!$F$8</c:f>
              <c:numCache>
                <c:formatCode>0.0000</c:formatCode>
                <c:ptCount val="1"/>
                <c:pt idx="0">
                  <c:v>-0.24152610541328112</c:v>
                </c:pt>
              </c:numCache>
            </c:numRef>
          </c:xVal>
          <c:yVal>
            <c:numRef>
              <c:f>'datapoints-plots'!$I$8</c:f>
              <c:numCache>
                <c:formatCode>0.000</c:formatCode>
                <c:ptCount val="1"/>
                <c:pt idx="0">
                  <c:v>-0.39917017368544699</c:v>
                </c:pt>
              </c:numCache>
            </c:numRef>
          </c:yVal>
          <c:smooth val="0"/>
          <c:extLst>
            <c:ext xmlns:c16="http://schemas.microsoft.com/office/drawing/2014/chart" uri="{C3380CC4-5D6E-409C-BE32-E72D297353CC}">
              <c16:uniqueId val="{00000001-B6F6-48EE-8748-D53D88664AD4}"/>
            </c:ext>
          </c:extLst>
        </c:ser>
        <c:ser>
          <c:idx val="2"/>
          <c:order val="2"/>
          <c:tx>
            <c:strRef>
              <c:f>'datapoints-plots'!$C$9</c:f>
              <c:strCache>
                <c:ptCount val="1"/>
                <c:pt idx="0">
                  <c:v> w/out added modifications</c:v>
                </c:pt>
              </c:strCache>
            </c:strRef>
          </c:tx>
          <c:spPr>
            <a:ln w="28575">
              <a:noFill/>
            </a:ln>
          </c:spPr>
          <c:marker>
            <c:spPr>
              <a:noFill/>
            </c:spPr>
          </c:marker>
          <c:xVal>
            <c:numRef>
              <c:f>'datapoints-plots'!$F$9</c:f>
              <c:numCache>
                <c:formatCode>0.0000</c:formatCode>
                <c:ptCount val="1"/>
                <c:pt idx="0">
                  <c:v>-0.24152610541328112</c:v>
                </c:pt>
              </c:numCache>
            </c:numRef>
          </c:xVal>
          <c:yVal>
            <c:numRef>
              <c:f>'datapoints-plots'!$I$9</c:f>
              <c:numCache>
                <c:formatCode>0.000</c:formatCode>
                <c:ptCount val="1"/>
                <c:pt idx="0">
                  <c:v>-0.39917017368544699</c:v>
                </c:pt>
              </c:numCache>
            </c:numRef>
          </c:yVal>
          <c:smooth val="0"/>
          <c:extLst>
            <c:ext xmlns:c16="http://schemas.microsoft.com/office/drawing/2014/chart" uri="{C3380CC4-5D6E-409C-BE32-E72D297353CC}">
              <c16:uniqueId val="{00000002-B6F6-48EE-8748-D53D88664AD4}"/>
            </c:ext>
          </c:extLst>
        </c:ser>
        <c:ser>
          <c:idx val="3"/>
          <c:order val="3"/>
          <c:tx>
            <c:strRef>
              <c:f>'datapoints-plots'!$K$48</c:f>
              <c:strCache>
                <c:ptCount val="1"/>
                <c:pt idx="0">
                  <c:v> -10‰ δ13C</c:v>
                </c:pt>
              </c:strCache>
            </c:strRef>
          </c:tx>
          <c:spPr>
            <a:ln w="28575">
              <a:noFill/>
            </a:ln>
          </c:spPr>
          <c:marker>
            <c:symbol val="circle"/>
            <c:size val="9"/>
            <c:spPr>
              <a:noFill/>
              <a:ln w="19050">
                <a:solidFill>
                  <a:schemeClr val="accent2">
                    <a:lumMod val="50000"/>
                  </a:schemeClr>
                </a:solidFill>
              </a:ln>
            </c:spPr>
          </c:marker>
          <c:xVal>
            <c:numRef>
              <c:f>'datapoints-plots'!$F$16:$F$21</c:f>
              <c:numCache>
                <c:formatCode>0.0000</c:formatCode>
                <c:ptCount val="6"/>
                <c:pt idx="0">
                  <c:v>40.345006169431045</c:v>
                </c:pt>
                <c:pt idx="1">
                  <c:v>30.25808562051191</c:v>
                </c:pt>
                <c:pt idx="2">
                  <c:v>20.17379900320071</c:v>
                </c:pt>
                <c:pt idx="3">
                  <c:v>10.09215835791899</c:v>
                </c:pt>
                <c:pt idx="4">
                  <c:v>1.3175898417427945E-2</c:v>
                </c:pt>
                <c:pt idx="5">
                  <c:v>-10.06313598399322</c:v>
                </c:pt>
              </c:numCache>
            </c:numRef>
          </c:xVal>
          <c:yVal>
            <c:numRef>
              <c:f>'datapoints-plots'!$I$16:$I$21</c:f>
              <c:numCache>
                <c:formatCode>0.000</c:formatCode>
                <c:ptCount val="6"/>
                <c:pt idx="0">
                  <c:v>-0.40373229654060333</c:v>
                </c:pt>
                <c:pt idx="1">
                  <c:v>-0.40481670711584944</c:v>
                </c:pt>
                <c:pt idx="2">
                  <c:v>-0.40590424969458039</c:v>
                </c:pt>
                <c:pt idx="3">
                  <c:v>-0.40699496275742375</c:v>
                </c:pt>
                <c:pt idx="4">
                  <c:v>-0.4080888855500443</c:v>
                </c:pt>
                <c:pt idx="5">
                  <c:v>-0.40918605809866754</c:v>
                </c:pt>
              </c:numCache>
            </c:numRef>
          </c:yVal>
          <c:smooth val="0"/>
          <c:extLst>
            <c:ext xmlns:c16="http://schemas.microsoft.com/office/drawing/2014/chart" uri="{C3380CC4-5D6E-409C-BE32-E72D297353CC}">
              <c16:uniqueId val="{00000003-B6F6-48EE-8748-D53D88664AD4}"/>
            </c:ext>
          </c:extLst>
        </c:ser>
        <c:ser>
          <c:idx val="4"/>
          <c:order val="4"/>
          <c:tx>
            <c:strRef>
              <c:f>'datapoints-plots'!$L$48</c:f>
              <c:strCache>
                <c:ptCount val="1"/>
                <c:pt idx="0">
                  <c:v>10‰ δ18O</c:v>
                </c:pt>
              </c:strCache>
            </c:strRef>
          </c:tx>
          <c:spPr>
            <a:ln w="28575">
              <a:noFill/>
            </a:ln>
          </c:spPr>
          <c:marker>
            <c:symbol val="x"/>
            <c:size val="9"/>
            <c:spPr>
              <a:ln w="19050">
                <a:solidFill>
                  <a:schemeClr val="accent4">
                    <a:lumMod val="50000"/>
                  </a:schemeClr>
                </a:solidFill>
              </a:ln>
            </c:spPr>
          </c:marker>
          <c:trendline>
            <c:trendlineType val="linear"/>
            <c:dispRSqr val="0"/>
            <c:dispEq val="1"/>
            <c:trendlineLbl>
              <c:layout>
                <c:manualLayout>
                  <c:x val="-7.4441242014559497E-2"/>
                  <c:y val="-0.39864483606215889"/>
                </c:manualLayout>
              </c:layout>
              <c:numFmt formatCode="General" sourceLinked="0"/>
            </c:trendlineLbl>
          </c:trendline>
          <c:xVal>
            <c:numRef>
              <c:f>'datapoints-plots'!$F$74:$F$79</c:f>
              <c:numCache>
                <c:formatCode>0.00</c:formatCode>
                <c:ptCount val="6"/>
                <c:pt idx="0">
                  <c:v>9.7732697658741152</c:v>
                </c:pt>
                <c:pt idx="1">
                  <c:v>1.3175898417427945E-2</c:v>
                </c:pt>
                <c:pt idx="2">
                  <c:v>-9.7469179605136347</c:v>
                </c:pt>
                <c:pt idx="3">
                  <c:v>-19.507011810915408</c:v>
                </c:pt>
                <c:pt idx="4">
                  <c:v>-29.267105652786118</c:v>
                </c:pt>
                <c:pt idx="5">
                  <c:v>-39.027199486122655</c:v>
                </c:pt>
              </c:numCache>
            </c:numRef>
          </c:xVal>
          <c:yVal>
            <c:numRef>
              <c:f>'datapoints-plots'!$I$74:$I$79</c:f>
              <c:numCache>
                <c:formatCode>0.000</c:formatCode>
                <c:ptCount val="6"/>
                <c:pt idx="0">
                  <c:v>-0.40912814028149624</c:v>
                </c:pt>
                <c:pt idx="1">
                  <c:v>-0.4080888855500443</c:v>
                </c:pt>
                <c:pt idx="2">
                  <c:v>-0.40701880521115136</c:v>
                </c:pt>
                <c:pt idx="3">
                  <c:v>-0.40591697771131729</c:v>
                </c:pt>
                <c:pt idx="4">
                  <c:v>-0.40478244442980355</c:v>
                </c:pt>
                <c:pt idx="5">
                  <c:v>-0.403614207793697</c:v>
                </c:pt>
              </c:numCache>
            </c:numRef>
          </c:yVal>
          <c:smooth val="0"/>
          <c:extLst>
            <c:ext xmlns:c16="http://schemas.microsoft.com/office/drawing/2014/chart" uri="{C3380CC4-5D6E-409C-BE32-E72D297353CC}">
              <c16:uniqueId val="{00000004-B6F6-48EE-8748-D53D88664AD4}"/>
            </c:ext>
          </c:extLst>
        </c:ser>
        <c:dLbls>
          <c:showLegendKey val="0"/>
          <c:showVal val="0"/>
          <c:showCatName val="0"/>
          <c:showSerName val="0"/>
          <c:showPercent val="0"/>
          <c:showBubbleSize val="0"/>
        </c:dLbls>
        <c:axId val="387001344"/>
        <c:axId val="387011712"/>
      </c:scatterChart>
      <c:valAx>
        <c:axId val="387001344"/>
        <c:scaling>
          <c:orientation val="minMax"/>
        </c:scaling>
        <c:delete val="0"/>
        <c:axPos val="b"/>
        <c:title>
          <c:tx>
            <c:rich>
              <a:bodyPr/>
              <a:lstStyle/>
              <a:p>
                <a:pPr>
                  <a:defRPr/>
                </a:pPr>
                <a:r>
                  <a:rPr lang="el-GR">
                    <a:latin typeface="Calibri"/>
                    <a:cs typeface="Calibri"/>
                  </a:rPr>
                  <a:t>δ</a:t>
                </a:r>
                <a:r>
                  <a:rPr lang="en-US" baseline="-25000">
                    <a:latin typeface="Calibri"/>
                    <a:cs typeface="Calibri"/>
                  </a:rPr>
                  <a:t>47</a:t>
                </a:r>
                <a:endParaRPr lang="en-US" baseline="-25000"/>
              </a:p>
            </c:rich>
          </c:tx>
          <c:overlay val="0"/>
        </c:title>
        <c:numFmt formatCode="0.0" sourceLinked="0"/>
        <c:majorTickMark val="out"/>
        <c:minorTickMark val="none"/>
        <c:tickLblPos val="nextTo"/>
        <c:crossAx val="387011712"/>
        <c:crossesAt val="-1000"/>
        <c:crossBetween val="midCat"/>
      </c:valAx>
      <c:valAx>
        <c:axId val="387011712"/>
        <c:scaling>
          <c:orientation val="minMax"/>
        </c:scaling>
        <c:delete val="0"/>
        <c:axPos val="l"/>
        <c:title>
          <c:tx>
            <c:rich>
              <a:bodyPr rot="-5400000" vert="horz"/>
              <a:lstStyle/>
              <a:p>
                <a:pPr>
                  <a:defRPr/>
                </a:pPr>
                <a:r>
                  <a:rPr lang="el-GR"/>
                  <a:t>Δ</a:t>
                </a:r>
                <a:r>
                  <a:rPr lang="en-US" baseline="-25000"/>
                  <a:t>47</a:t>
                </a:r>
                <a:r>
                  <a:rPr lang="en-US" baseline="0"/>
                  <a:t>, </a:t>
                </a:r>
                <a:r>
                  <a:rPr lang="el-GR" baseline="0"/>
                  <a:t>δ</a:t>
                </a:r>
                <a:r>
                  <a:rPr lang="en-US" baseline="30000"/>
                  <a:t>47</a:t>
                </a:r>
                <a:r>
                  <a:rPr lang="en-US" baseline="0"/>
                  <a:t> corrected</a:t>
                </a:r>
                <a:endParaRPr lang="en-US" baseline="-25000"/>
              </a:p>
            </c:rich>
          </c:tx>
          <c:overlay val="0"/>
        </c:title>
        <c:numFmt formatCode="0.000" sourceLinked="1"/>
        <c:majorTickMark val="out"/>
        <c:minorTickMark val="none"/>
        <c:tickLblPos val="nextTo"/>
        <c:crossAx val="387001344"/>
        <c:crossesAt val="-1000"/>
        <c:crossBetween val="midCat"/>
        <c:majorUnit val="0.1"/>
      </c:valAx>
    </c:plotArea>
    <c:legend>
      <c:legendPos val="r"/>
      <c:layout>
        <c:manualLayout>
          <c:xMode val="edge"/>
          <c:yMode val="edge"/>
          <c:x val="0.72988001499812527"/>
          <c:y val="0.15215265844212469"/>
          <c:w val="0.2345830910555517"/>
          <c:h val="0.65506681371668929"/>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Parameter</a:t>
            </a:r>
            <a:r>
              <a:rPr lang="en-US" baseline="0"/>
              <a:t> sets effects:</a:t>
            </a:r>
          </a:p>
          <a:p>
            <a:pPr>
              <a:defRPr/>
            </a:pPr>
            <a:r>
              <a:rPr lang="en-US" sz="1400" baseline="0"/>
              <a:t>generation and solve sets</a:t>
            </a:r>
            <a:endParaRPr lang="en-US" sz="1400"/>
          </a:p>
        </c:rich>
      </c:tx>
      <c:overlay val="0"/>
    </c:title>
    <c:autoTitleDeleted val="0"/>
    <c:plotArea>
      <c:layout>
        <c:manualLayout>
          <c:layoutTarget val="inner"/>
          <c:xMode val="edge"/>
          <c:yMode val="edge"/>
          <c:x val="0.19342096882241183"/>
          <c:y val="0.21584520381554248"/>
          <c:w val="0.46550238290537943"/>
          <c:h val="0.5470038360589542"/>
        </c:manualLayout>
      </c:layout>
      <c:scatterChart>
        <c:scatterStyle val="lineMarker"/>
        <c:varyColors val="0"/>
        <c:ser>
          <c:idx val="0"/>
          <c:order val="0"/>
          <c:tx>
            <c:strRef>
              <c:f>'datapoints-plots'!$G$6</c:f>
              <c:strCache>
                <c:ptCount val="1"/>
                <c:pt idx="0">
                  <c:v>Δ47 vs. ref</c:v>
                </c:pt>
              </c:strCache>
            </c:strRef>
          </c:tx>
          <c:spPr>
            <a:ln w="28575">
              <a:noFill/>
            </a:ln>
          </c:spPr>
          <c:marker>
            <c:spPr>
              <a:solidFill>
                <a:srgbClr val="0070C0"/>
              </a:solidFill>
            </c:spPr>
          </c:marker>
          <c:trendline>
            <c:trendlineType val="linear"/>
            <c:dispRSqr val="1"/>
            <c:dispEq val="1"/>
            <c:trendlineLbl>
              <c:layout>
                <c:manualLayout>
                  <c:x val="0.25148323564817554"/>
                  <c:y val="-2.0967589220684632E-2"/>
                </c:manualLayout>
              </c:layout>
              <c:numFmt formatCode="General" sourceLinked="0"/>
            </c:trendlineLbl>
          </c:trendline>
          <c:xVal>
            <c:numRef>
              <c:f>'datapoints-plots'!$F$10:$F$45</c:f>
              <c:numCache>
                <c:formatCode>0.0000</c:formatCode>
                <c:ptCount val="36"/>
                <c:pt idx="0">
                  <c:v>-0.39967691698483687</c:v>
                </c:pt>
                <c:pt idx="1">
                  <c:v>9.7732697658741152</c:v>
                </c:pt>
                <c:pt idx="2">
                  <c:v>14.860745353233673</c:v>
                </c:pt>
                <c:pt idx="3">
                  <c:v>19.948887028093274</c:v>
                </c:pt>
                <c:pt idx="4">
                  <c:v>40.30808390285312</c:v>
                </c:pt>
                <c:pt idx="5">
                  <c:v>50.491639261183387</c:v>
                </c:pt>
                <c:pt idx="6">
                  <c:v>40.345006169431045</c:v>
                </c:pt>
                <c:pt idx="7">
                  <c:v>30.25808562051191</c:v>
                </c:pt>
                <c:pt idx="8">
                  <c:v>20.17379900320071</c:v>
                </c:pt>
                <c:pt idx="9">
                  <c:v>10.09215835791899</c:v>
                </c:pt>
                <c:pt idx="10">
                  <c:v>1.3175898417427945E-2</c:v>
                </c:pt>
                <c:pt idx="11">
                  <c:v>-10.06313598399322</c:v>
                </c:pt>
                <c:pt idx="12">
                  <c:v>30.19837308689177</c:v>
                </c:pt>
                <c:pt idx="13">
                  <c:v>20.208087347209911</c:v>
                </c:pt>
                <c:pt idx="14">
                  <c:v>10.220435536924866</c:v>
                </c:pt>
                <c:pt idx="15">
                  <c:v>0.23542969643974843</c:v>
                </c:pt>
                <c:pt idx="16">
                  <c:v>-9.7469179605136347</c:v>
                </c:pt>
                <c:pt idx="17">
                  <c:v>-19.726595042643623</c:v>
                </c:pt>
                <c:pt idx="18">
                  <c:v>20.05174001356913</c:v>
                </c:pt>
                <c:pt idx="19">
                  <c:v>10.158089082950239</c:v>
                </c:pt>
                <c:pt idx="20">
                  <c:v>0.26707207951814915</c:v>
                </c:pt>
                <c:pt idx="21">
                  <c:v>-9.6212989563408957</c:v>
                </c:pt>
                <c:pt idx="22">
                  <c:v>-19.507011810915408</c:v>
                </c:pt>
                <c:pt idx="23">
                  <c:v>-29.390054092933049</c:v>
                </c:pt>
                <c:pt idx="24">
                  <c:v>9.9051069494664468</c:v>
                </c:pt>
                <c:pt idx="25">
                  <c:v>0.1080908277355519</c:v>
                </c:pt>
                <c:pt idx="26">
                  <c:v>-9.6862913690157768</c:v>
                </c:pt>
                <c:pt idx="27">
                  <c:v>-19.478027600420834</c:v>
                </c:pt>
                <c:pt idx="28">
                  <c:v>-29.267105652786118</c:v>
                </c:pt>
                <c:pt idx="29">
                  <c:v>-39.053513134858832</c:v>
                </c:pt>
                <c:pt idx="30">
                  <c:v>-0.24152610541328112</c:v>
                </c:pt>
                <c:pt idx="31">
                  <c:v>-9.9419074184309295</c:v>
                </c:pt>
                <c:pt idx="32">
                  <c:v>-19.639654808674798</c:v>
                </c:pt>
                <c:pt idx="33">
                  <c:v>-29.334756235796956</c:v>
                </c:pt>
                <c:pt idx="34">
                  <c:v>-39.027199486122655</c:v>
                </c:pt>
                <c:pt idx="35">
                  <c:v>-48.716972168418749</c:v>
                </c:pt>
              </c:numCache>
            </c:numRef>
          </c:xVal>
          <c:yVal>
            <c:numRef>
              <c:f>'datapoints-plots'!$G$10:$G$45</c:f>
              <c:numCache>
                <c:formatCode>0.0000</c:formatCode>
                <c:ptCount val="36"/>
                <c:pt idx="0">
                  <c:v>-0.41020776750799737</c:v>
                </c:pt>
                <c:pt idx="1">
                  <c:v>-0.40942961164569525</c:v>
                </c:pt>
                <c:pt idx="2">
                  <c:v>-0.40904176740419462</c:v>
                </c:pt>
                <c:pt idx="3">
                  <c:v>-0.40865473897111482</c:v>
                </c:pt>
                <c:pt idx="4">
                  <c:v>-0.40711468543874751</c:v>
                </c:pt>
                <c:pt idx="5">
                  <c:v>-0.40634942761041959</c:v>
                </c:pt>
                <c:pt idx="6">
                  <c:v>-0.40497679959228261</c:v>
                </c:pt>
                <c:pt idx="7">
                  <c:v>-0.40575006376808442</c:v>
                </c:pt>
                <c:pt idx="8">
                  <c:v>-0.40652654119499587</c:v>
                </c:pt>
                <c:pt idx="9">
                  <c:v>-0.40730627072504966</c:v>
                </c:pt>
                <c:pt idx="10">
                  <c:v>-0.40808929198066224</c:v>
                </c:pt>
                <c:pt idx="11">
                  <c:v>-0.40887564537028798</c:v>
                </c:pt>
                <c:pt idx="12">
                  <c:v>-0.40357277222891064</c:v>
                </c:pt>
                <c:pt idx="13">
                  <c:v>-0.40435418497297704</c:v>
                </c:pt>
                <c:pt idx="14">
                  <c:v>-0.4051388584322968</c:v>
                </c:pt>
                <c:pt idx="15">
                  <c:v>-0.40592683221274406</c:v>
                </c:pt>
                <c:pt idx="16">
                  <c:v>-0.4067181467084513</c:v>
                </c:pt>
                <c:pt idx="17">
                  <c:v>-0.40751284312179337</c:v>
                </c:pt>
                <c:pt idx="18">
                  <c:v>-0.40213640750164092</c:v>
                </c:pt>
                <c:pt idx="19">
                  <c:v>-0.40292611511294485</c:v>
                </c:pt>
                <c:pt idx="20">
                  <c:v>-0.40371913173131713</c:v>
                </c:pt>
                <c:pt idx="21">
                  <c:v>-0.40451549772491102</c:v>
                </c:pt>
                <c:pt idx="22">
                  <c:v>-0.40531525427556225</c:v>
                </c:pt>
                <c:pt idx="23">
                  <c:v>-0.40611844339055736</c:v>
                </c:pt>
                <c:pt idx="24">
                  <c:v>-0.40066672968719352</c:v>
                </c:pt>
                <c:pt idx="25">
                  <c:v>-0.40146488270342839</c:v>
                </c:pt>
                <c:pt idx="26">
                  <c:v>-0.40226639386764518</c:v>
                </c:pt>
                <c:pt idx="27">
                  <c:v>-0.40307130432815086</c:v>
                </c:pt>
                <c:pt idx="28">
                  <c:v>-0.40387965606125675</c:v>
                </c:pt>
                <c:pt idx="29">
                  <c:v>-0.4046914918961475</c:v>
                </c:pt>
                <c:pt idx="30">
                  <c:v>-0.39916272344553416</c:v>
                </c:pt>
                <c:pt idx="31">
                  <c:v>-0.39996947680354111</c:v>
                </c:pt>
                <c:pt idx="32">
                  <c:v>-0.40077963833062835</c:v>
                </c:pt>
                <c:pt idx="33">
                  <c:v>-0.40159324996436041</c:v>
                </c:pt>
                <c:pt idx="34">
                  <c:v>-0.40241035449262164</c:v>
                </c:pt>
                <c:pt idx="35">
                  <c:v>-0.40323099557570963</c:v>
                </c:pt>
              </c:numCache>
            </c:numRef>
          </c:yVal>
          <c:smooth val="0"/>
          <c:extLst>
            <c:ext xmlns:c16="http://schemas.microsoft.com/office/drawing/2014/chart" uri="{C3380CC4-5D6E-409C-BE32-E72D297353CC}">
              <c16:uniqueId val="{00000001-ACB9-4097-B0D6-C773EC81831E}"/>
            </c:ext>
          </c:extLst>
        </c:ser>
        <c:ser>
          <c:idx val="1"/>
          <c:order val="1"/>
          <c:tx>
            <c:strRef>
              <c:f>'datapoints-plots'!$C$8</c:f>
              <c:strCache>
                <c:ptCount val="1"/>
                <c:pt idx="0">
                  <c:v>single point w/modifications</c:v>
                </c:pt>
              </c:strCache>
            </c:strRef>
          </c:tx>
          <c:spPr>
            <a:ln w="28575">
              <a:noFill/>
            </a:ln>
          </c:spPr>
          <c:marker>
            <c:spPr>
              <a:noFill/>
            </c:spPr>
          </c:marker>
          <c:xVal>
            <c:numRef>
              <c:f>'datapoints-plots'!$F$8</c:f>
              <c:numCache>
                <c:formatCode>0.0000</c:formatCode>
                <c:ptCount val="1"/>
                <c:pt idx="0">
                  <c:v>-0.24152610541328112</c:v>
                </c:pt>
              </c:numCache>
            </c:numRef>
          </c:xVal>
          <c:yVal>
            <c:numRef>
              <c:f>'datapoints-plots'!$G$8</c:f>
              <c:numCache>
                <c:formatCode>0.0000</c:formatCode>
                <c:ptCount val="1"/>
                <c:pt idx="0">
                  <c:v>-0.39916272344553416</c:v>
                </c:pt>
              </c:numCache>
            </c:numRef>
          </c:yVal>
          <c:smooth val="0"/>
          <c:extLst>
            <c:ext xmlns:c16="http://schemas.microsoft.com/office/drawing/2014/chart" uri="{C3380CC4-5D6E-409C-BE32-E72D297353CC}">
              <c16:uniqueId val="{00000002-ACB9-4097-B0D6-C773EC81831E}"/>
            </c:ext>
          </c:extLst>
        </c:ser>
        <c:ser>
          <c:idx val="2"/>
          <c:order val="2"/>
          <c:tx>
            <c:strRef>
              <c:f>'datapoints-plots'!$C$9</c:f>
              <c:strCache>
                <c:ptCount val="1"/>
                <c:pt idx="0">
                  <c:v> w/out added modifications</c:v>
                </c:pt>
              </c:strCache>
            </c:strRef>
          </c:tx>
          <c:spPr>
            <a:ln w="28575">
              <a:noFill/>
            </a:ln>
          </c:spPr>
          <c:marker>
            <c:spPr>
              <a:noFill/>
            </c:spPr>
          </c:marker>
          <c:xVal>
            <c:numRef>
              <c:f>'datapoints-plots'!$F$9</c:f>
              <c:numCache>
                <c:formatCode>0.0000</c:formatCode>
                <c:ptCount val="1"/>
                <c:pt idx="0">
                  <c:v>-0.24152610541328112</c:v>
                </c:pt>
              </c:numCache>
            </c:numRef>
          </c:xVal>
          <c:yVal>
            <c:numRef>
              <c:f>'datapoints-plots'!$G$9</c:f>
              <c:numCache>
                <c:formatCode>0.0000</c:formatCode>
                <c:ptCount val="1"/>
                <c:pt idx="0">
                  <c:v>-0.39916272344553416</c:v>
                </c:pt>
              </c:numCache>
            </c:numRef>
          </c:yVal>
          <c:smooth val="0"/>
          <c:extLst>
            <c:ext xmlns:c16="http://schemas.microsoft.com/office/drawing/2014/chart" uri="{C3380CC4-5D6E-409C-BE32-E72D297353CC}">
              <c16:uniqueId val="{00000003-ACB9-4097-B0D6-C773EC81831E}"/>
            </c:ext>
          </c:extLst>
        </c:ser>
        <c:ser>
          <c:idx val="3"/>
          <c:order val="3"/>
          <c:tx>
            <c:strRef>
              <c:f>'datapoints-plots'!$K$48</c:f>
              <c:strCache>
                <c:ptCount val="1"/>
                <c:pt idx="0">
                  <c:v> -10‰ δ13C</c:v>
                </c:pt>
              </c:strCache>
            </c:strRef>
          </c:tx>
          <c:spPr>
            <a:ln w="28575">
              <a:noFill/>
            </a:ln>
          </c:spPr>
          <c:marker>
            <c:symbol val="circle"/>
            <c:size val="9"/>
            <c:spPr>
              <a:noFill/>
              <a:ln w="19050">
                <a:solidFill>
                  <a:schemeClr val="accent2">
                    <a:lumMod val="50000"/>
                  </a:schemeClr>
                </a:solidFill>
              </a:ln>
            </c:spPr>
          </c:marker>
          <c:xVal>
            <c:numRef>
              <c:f>'datapoints-plots'!$F$16:$F$21</c:f>
              <c:numCache>
                <c:formatCode>0.0000</c:formatCode>
                <c:ptCount val="6"/>
                <c:pt idx="0">
                  <c:v>40.345006169431045</c:v>
                </c:pt>
                <c:pt idx="1">
                  <c:v>30.25808562051191</c:v>
                </c:pt>
                <c:pt idx="2">
                  <c:v>20.17379900320071</c:v>
                </c:pt>
                <c:pt idx="3">
                  <c:v>10.09215835791899</c:v>
                </c:pt>
                <c:pt idx="4">
                  <c:v>1.3175898417427945E-2</c:v>
                </c:pt>
                <c:pt idx="5">
                  <c:v>-10.06313598399322</c:v>
                </c:pt>
              </c:numCache>
            </c:numRef>
          </c:xVal>
          <c:yVal>
            <c:numRef>
              <c:f>'datapoints-plots'!$G$16:$G$21</c:f>
              <c:numCache>
                <c:formatCode>0.0000</c:formatCode>
                <c:ptCount val="6"/>
                <c:pt idx="0">
                  <c:v>-0.40497679959228261</c:v>
                </c:pt>
                <c:pt idx="1">
                  <c:v>-0.40575006376808442</c:v>
                </c:pt>
                <c:pt idx="2">
                  <c:v>-0.40652654119499587</c:v>
                </c:pt>
                <c:pt idx="3">
                  <c:v>-0.40730627072504966</c:v>
                </c:pt>
                <c:pt idx="4">
                  <c:v>-0.40808929198066224</c:v>
                </c:pt>
                <c:pt idx="5">
                  <c:v>-0.40887564537028798</c:v>
                </c:pt>
              </c:numCache>
            </c:numRef>
          </c:yVal>
          <c:smooth val="0"/>
          <c:extLst>
            <c:ext xmlns:c16="http://schemas.microsoft.com/office/drawing/2014/chart" uri="{C3380CC4-5D6E-409C-BE32-E72D297353CC}">
              <c16:uniqueId val="{00000004-ACB9-4097-B0D6-C773EC81831E}"/>
            </c:ext>
          </c:extLst>
        </c:ser>
        <c:ser>
          <c:idx val="4"/>
          <c:order val="4"/>
          <c:tx>
            <c:strRef>
              <c:f>'datapoints-plots'!$L$48</c:f>
              <c:strCache>
                <c:ptCount val="1"/>
                <c:pt idx="0">
                  <c:v>10‰ δ18O</c:v>
                </c:pt>
              </c:strCache>
            </c:strRef>
          </c:tx>
          <c:spPr>
            <a:ln w="28575">
              <a:noFill/>
            </a:ln>
          </c:spPr>
          <c:marker>
            <c:symbol val="x"/>
            <c:size val="9"/>
            <c:spPr>
              <a:ln w="19050">
                <a:solidFill>
                  <a:schemeClr val="accent4">
                    <a:lumMod val="50000"/>
                  </a:schemeClr>
                </a:solidFill>
              </a:ln>
            </c:spPr>
          </c:marker>
          <c:trendline>
            <c:trendlineType val="linear"/>
            <c:dispRSqr val="0"/>
            <c:dispEq val="1"/>
            <c:trendlineLbl>
              <c:layout>
                <c:manualLayout>
                  <c:x val="0.28113058236141536"/>
                  <c:y val="-0.43815731973780042"/>
                </c:manualLayout>
              </c:layout>
              <c:numFmt formatCode="General" sourceLinked="0"/>
            </c:trendlineLbl>
          </c:trendline>
          <c:xVal>
            <c:numRef>
              <c:f>'datapoints-plots'!$F$74:$F$79</c:f>
              <c:numCache>
                <c:formatCode>0.00</c:formatCode>
                <c:ptCount val="6"/>
                <c:pt idx="0">
                  <c:v>9.7732697658741152</c:v>
                </c:pt>
                <c:pt idx="1">
                  <c:v>1.3175898417427945E-2</c:v>
                </c:pt>
                <c:pt idx="2">
                  <c:v>-9.7469179605136347</c:v>
                </c:pt>
                <c:pt idx="3">
                  <c:v>-19.507011810915408</c:v>
                </c:pt>
                <c:pt idx="4">
                  <c:v>-29.267105652786118</c:v>
                </c:pt>
                <c:pt idx="5">
                  <c:v>-39.027199486122655</c:v>
                </c:pt>
              </c:numCache>
            </c:numRef>
          </c:xVal>
          <c:yVal>
            <c:numRef>
              <c:f>'datapoints-plots'!$G$74:$G$79</c:f>
              <c:numCache>
                <c:formatCode>0.000</c:formatCode>
                <c:ptCount val="6"/>
                <c:pt idx="0">
                  <c:v>-0.40942961164569525</c:v>
                </c:pt>
                <c:pt idx="1">
                  <c:v>-0.40808929198066224</c:v>
                </c:pt>
                <c:pt idx="2">
                  <c:v>-0.4067181467084513</c:v>
                </c:pt>
                <c:pt idx="3">
                  <c:v>-0.40531525427556225</c:v>
                </c:pt>
                <c:pt idx="4">
                  <c:v>-0.40387965606125675</c:v>
                </c:pt>
                <c:pt idx="5">
                  <c:v>-0.40241035449262164</c:v>
                </c:pt>
              </c:numCache>
            </c:numRef>
          </c:yVal>
          <c:smooth val="0"/>
          <c:extLst>
            <c:ext xmlns:c16="http://schemas.microsoft.com/office/drawing/2014/chart" uri="{C3380CC4-5D6E-409C-BE32-E72D297353CC}">
              <c16:uniqueId val="{00000005-ACB9-4097-B0D6-C773EC81831E}"/>
            </c:ext>
          </c:extLst>
        </c:ser>
        <c:dLbls>
          <c:showLegendKey val="0"/>
          <c:showVal val="0"/>
          <c:showCatName val="0"/>
          <c:showSerName val="0"/>
          <c:showPercent val="0"/>
          <c:showBubbleSize val="0"/>
        </c:dLbls>
        <c:axId val="386831104"/>
        <c:axId val="386832640"/>
      </c:scatterChart>
      <c:valAx>
        <c:axId val="386831104"/>
        <c:scaling>
          <c:orientation val="minMax"/>
        </c:scaling>
        <c:delete val="0"/>
        <c:axPos val="b"/>
        <c:title>
          <c:tx>
            <c:rich>
              <a:bodyPr/>
              <a:lstStyle/>
              <a:p>
                <a:pPr>
                  <a:defRPr/>
                </a:pPr>
                <a:r>
                  <a:rPr lang="el-GR">
                    <a:latin typeface="Calibri"/>
                    <a:cs typeface="Calibri"/>
                  </a:rPr>
                  <a:t>δ</a:t>
                </a:r>
                <a:r>
                  <a:rPr lang="en-US" baseline="-25000">
                    <a:latin typeface="Calibri"/>
                    <a:cs typeface="Calibri"/>
                  </a:rPr>
                  <a:t>47</a:t>
                </a:r>
                <a:endParaRPr lang="en-US" baseline="-25000"/>
              </a:p>
            </c:rich>
          </c:tx>
          <c:overlay val="0"/>
        </c:title>
        <c:numFmt formatCode="0.0" sourceLinked="0"/>
        <c:majorTickMark val="out"/>
        <c:minorTickMark val="none"/>
        <c:tickLblPos val="nextTo"/>
        <c:crossAx val="386832640"/>
        <c:crossesAt val="-1000"/>
        <c:crossBetween val="midCat"/>
      </c:valAx>
      <c:valAx>
        <c:axId val="386832640"/>
        <c:scaling>
          <c:orientation val="minMax"/>
        </c:scaling>
        <c:delete val="0"/>
        <c:axPos val="l"/>
        <c:majorGridlines>
          <c:spPr>
            <a:ln>
              <a:noFill/>
            </a:ln>
          </c:spPr>
        </c:majorGridlines>
        <c:title>
          <c:tx>
            <c:rich>
              <a:bodyPr rot="-5400000" vert="horz"/>
              <a:lstStyle/>
              <a:p>
                <a:pPr>
                  <a:defRPr/>
                </a:pPr>
                <a:r>
                  <a:rPr lang="el-GR"/>
                  <a:t>Δ</a:t>
                </a:r>
                <a:r>
                  <a:rPr lang="en-US" baseline="-25000"/>
                  <a:t>47</a:t>
                </a:r>
              </a:p>
            </c:rich>
          </c:tx>
          <c:overlay val="0"/>
        </c:title>
        <c:numFmt formatCode="0.000" sourceLinked="0"/>
        <c:majorTickMark val="out"/>
        <c:minorTickMark val="none"/>
        <c:tickLblPos val="nextTo"/>
        <c:crossAx val="386831104"/>
        <c:crossesAt val="-1000"/>
        <c:crossBetween val="midCat"/>
      </c:valAx>
    </c:plotArea>
    <c:legend>
      <c:legendPos val="r"/>
      <c:layout>
        <c:manualLayout>
          <c:xMode val="edge"/>
          <c:yMode val="edge"/>
          <c:x val="0.73339021952799843"/>
          <c:y val="0.16925599986276227"/>
          <c:w val="0.26660969991496963"/>
          <c:h val="0.666561577424325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l-GR"/>
              <a:t>Δ</a:t>
            </a:r>
            <a:r>
              <a:rPr lang="en-US" baseline="-25000"/>
              <a:t>47</a:t>
            </a:r>
            <a:r>
              <a:rPr lang="en-US" baseline="0"/>
              <a:t> variation</a:t>
            </a:r>
          </a:p>
          <a:p>
            <a:pPr>
              <a:defRPr/>
            </a:pPr>
            <a:r>
              <a:rPr lang="en-US" sz="1400" baseline="0"/>
              <a:t>trends with </a:t>
            </a:r>
            <a:r>
              <a:rPr lang="el-GR" sz="1400" baseline="0">
                <a:latin typeface="Calibri"/>
                <a:cs typeface="Calibri"/>
              </a:rPr>
              <a:t>δ</a:t>
            </a:r>
            <a:r>
              <a:rPr lang="en-US" sz="1400" baseline="30000"/>
              <a:t>13</a:t>
            </a:r>
            <a:r>
              <a:rPr lang="en-US" sz="1400" baseline="0"/>
              <a:t>C shifts</a:t>
            </a:r>
            <a:endParaRPr lang="en-US" sz="1400"/>
          </a:p>
        </c:rich>
      </c:tx>
      <c:overlay val="0"/>
    </c:title>
    <c:autoTitleDeleted val="0"/>
    <c:plotArea>
      <c:layout>
        <c:manualLayout>
          <c:layoutTarget val="inner"/>
          <c:xMode val="edge"/>
          <c:yMode val="edge"/>
          <c:x val="0.14344844156587366"/>
          <c:y val="0.18274727059768994"/>
          <c:w val="0.75518391003867891"/>
          <c:h val="0.6812399470474354"/>
        </c:manualLayout>
      </c:layout>
      <c:scatterChart>
        <c:scatterStyle val="lineMarker"/>
        <c:varyColors val="0"/>
        <c:ser>
          <c:idx val="0"/>
          <c:order val="0"/>
          <c:tx>
            <c:strRef>
              <c:f>'datapoints-plots'!$I$6</c:f>
              <c:strCache>
                <c:ptCount val="1"/>
                <c:pt idx="0">
                  <c:v>Δ47, slope corr.</c:v>
                </c:pt>
              </c:strCache>
            </c:strRef>
          </c:tx>
          <c:spPr>
            <a:ln w="28575">
              <a:noFill/>
            </a:ln>
          </c:spPr>
          <c:xVal>
            <c:numRef>
              <c:f>'datapoints-plots'!$N$10:$N$45</c:f>
              <c:numCache>
                <c:formatCode>0.000</c:formatCode>
                <c:ptCount val="36"/>
                <c:pt idx="0">
                  <c:v>1.3184104492580673E-3</c:v>
                </c:pt>
                <c:pt idx="1">
                  <c:v>-4.3936229121577242E-4</c:v>
                </c:pt>
                <c:pt idx="2">
                  <c:v>-1.3152061145715876E-3</c:v>
                </c:pt>
                <c:pt idx="3">
                  <c:v>-2.1890411757707895E-3</c:v>
                </c:pt>
                <c:pt idx="4">
                  <c:v>-5.6645808128585884E-3</c:v>
                </c:pt>
                <c:pt idx="5">
                  <c:v>-7.3906663972111986E-3</c:v>
                </c:pt>
                <c:pt idx="6">
                  <c:v>-1.0705446992451684E-2</c:v>
                </c:pt>
                <c:pt idx="7">
                  <c:v>-8.9795371591794293E-3</c:v>
                </c:pt>
                <c:pt idx="8">
                  <c:v>-7.2458747604287055E-3</c:v>
                </c:pt>
                <c:pt idx="9">
                  <c:v>-5.5043487283779058E-3</c:v>
                </c:pt>
                <c:pt idx="10">
                  <c:v>-3.7548452946989386E-3</c:v>
                </c:pt>
                <c:pt idx="11">
                  <c:v>-1.9972479015173406E-3</c:v>
                </c:pt>
                <c:pt idx="12">
                  <c:v>-1.4020228677043889E-2</c:v>
                </c:pt>
                <c:pt idx="13">
                  <c:v>-1.2294494590520344E-2</c:v>
                </c:pt>
                <c:pt idx="14">
                  <c:v>-1.0561007840600212E-2</c:v>
                </c:pt>
                <c:pt idx="15">
                  <c:v>-8.819657356681887E-3</c:v>
                </c:pt>
                <c:pt idx="16">
                  <c:v>-7.0703293699914127E-3</c:v>
                </c:pt>
                <c:pt idx="17">
                  <c:v>-5.3129073197730747E-3</c:v>
                </c:pt>
                <c:pt idx="18">
                  <c:v>-1.7335011451539373E-2</c:v>
                </c:pt>
                <c:pt idx="19">
                  <c:v>-1.5609453107327198E-2</c:v>
                </c:pt>
                <c:pt idx="20">
                  <c:v>-1.3876142001794989E-2</c:v>
                </c:pt>
                <c:pt idx="21">
                  <c:v>-1.2134967062230828E-2</c:v>
                </c:pt>
                <c:pt idx="22">
                  <c:v>-1.0385814517981373E-2</c:v>
                </c:pt>
                <c:pt idx="23">
                  <c:v>-8.6285678068378502E-3</c:v>
                </c:pt>
                <c:pt idx="24">
                  <c:v>-2.0649795315719643E-2</c:v>
                </c:pt>
                <c:pt idx="25">
                  <c:v>-1.8924412709935723E-2</c:v>
                </c:pt>
                <c:pt idx="26">
                  <c:v>-1.7191277244677394E-2</c:v>
                </c:pt>
                <c:pt idx="27">
                  <c:v>-1.5450277845253879E-2</c:v>
                </c:pt>
                <c:pt idx="28">
                  <c:v>-1.3701300739000999E-2</c:v>
                </c:pt>
                <c:pt idx="29">
                  <c:v>-1.1944229362164549E-2</c:v>
                </c:pt>
                <c:pt idx="30">
                  <c:v>-2.3964580270700253E-2</c:v>
                </c:pt>
                <c:pt idx="31">
                  <c:v>-2.2239373399337126E-2</c:v>
                </c:pt>
                <c:pt idx="32">
                  <c:v>-2.0506413569918891E-2</c:v>
                </c:pt>
                <c:pt idx="33">
                  <c:v>-1.8765589706084995E-2</c:v>
                </c:pt>
                <c:pt idx="34">
                  <c:v>-1.7016788033828334E-2</c:v>
                </c:pt>
                <c:pt idx="35">
                  <c:v>-1.525989198751887E-2</c:v>
                </c:pt>
              </c:numCache>
            </c:numRef>
          </c:xVal>
          <c:yVal>
            <c:numRef>
              <c:f>'datapoints-plots'!$I$10:$I$45</c:f>
              <c:numCache>
                <c:formatCode>0.000</c:formatCode>
                <c:ptCount val="36"/>
                <c:pt idx="0">
                  <c:v>-0.41022009615012928</c:v>
                </c:pt>
                <c:pt idx="1">
                  <c:v>-0.40912814028149624</c:v>
                </c:pt>
                <c:pt idx="2">
                  <c:v>-0.40858336512103077</c:v>
                </c:pt>
                <c:pt idx="3">
                  <c:v>-0.40803938522250449</c:v>
                </c:pt>
                <c:pt idx="4">
                  <c:v>-0.40587132131051368</c:v>
                </c:pt>
                <c:pt idx="5">
                  <c:v>-0.40479193623513154</c:v>
                </c:pt>
                <c:pt idx="6">
                  <c:v>-0.40373229654060333</c:v>
                </c:pt>
                <c:pt idx="7">
                  <c:v>-0.40481670711584944</c:v>
                </c:pt>
                <c:pt idx="8">
                  <c:v>-0.40590424969458039</c:v>
                </c:pt>
                <c:pt idx="9">
                  <c:v>-0.40699496275742375</c:v>
                </c:pt>
                <c:pt idx="10">
                  <c:v>-0.4080888855500443</c:v>
                </c:pt>
                <c:pt idx="11">
                  <c:v>-0.40918605809866754</c:v>
                </c:pt>
                <c:pt idx="12">
                  <c:v>-0.40264125750055596</c:v>
                </c:pt>
                <c:pt idx="13">
                  <c:v>-0.40373083579646213</c:v>
                </c:pt>
                <c:pt idx="14">
                  <c:v>-0.40482359356006509</c:v>
                </c:pt>
                <c:pt idx="15">
                  <c:v>-0.40591957002583434</c:v>
                </c:pt>
                <c:pt idx="16">
                  <c:v>-0.40701880521115136</c:v>
                </c:pt>
                <c:pt idx="17">
                  <c:v>-0.40812133993616273</c:v>
                </c:pt>
                <c:pt idx="18">
                  <c:v>-0.40151788109632652</c:v>
                </c:pt>
                <c:pt idx="19">
                  <c:v>-0.40261277341187107</c:v>
                </c:pt>
                <c:pt idx="20">
                  <c:v>-0.40371089348699557</c:v>
                </c:pt>
                <c:pt idx="21">
                  <c:v>-0.40481228131844921</c:v>
                </c:pt>
                <c:pt idx="22">
                  <c:v>-0.40591697771131729</c:v>
                </c:pt>
                <c:pt idx="23">
                  <c:v>-0.40702502429065862</c:v>
                </c:pt>
                <c:pt idx="24">
                  <c:v>-0.40036119160463496</c:v>
                </c:pt>
                <c:pt idx="25">
                  <c:v>-0.40146154847751675</c:v>
                </c:pt>
                <c:pt idx="26">
                  <c:v>-0.40256518225096011</c:v>
                </c:pt>
                <c:pt idx="27">
                  <c:v>-0.40367213370186855</c:v>
                </c:pt>
                <c:pt idx="28">
                  <c:v>-0.40478244442980355</c:v>
                </c:pt>
                <c:pt idx="29">
                  <c:v>-0.4058961568817227</c:v>
                </c:pt>
                <c:pt idx="30">
                  <c:v>-0.39917017368544699</c:v>
                </c:pt>
                <c:pt idx="31">
                  <c:v>-0.40027615005251249</c:v>
                </c:pt>
                <c:pt idx="32">
                  <c:v>-0.40138545334130599</c:v>
                </c:pt>
                <c:pt idx="33">
                  <c:v>-0.40249812511798916</c:v>
                </c:pt>
                <c:pt idx="34">
                  <c:v>-0.403614207793697</c:v>
                </c:pt>
                <c:pt idx="35">
                  <c:v>-0.40473374464650064</c:v>
                </c:pt>
              </c:numCache>
            </c:numRef>
          </c:yVal>
          <c:smooth val="0"/>
          <c:extLst>
            <c:ext xmlns:c16="http://schemas.microsoft.com/office/drawing/2014/chart" uri="{C3380CC4-5D6E-409C-BE32-E72D297353CC}">
              <c16:uniqueId val="{00000000-BE30-44A9-81EB-8531A7FA5BF4}"/>
            </c:ext>
          </c:extLst>
        </c:ser>
        <c:ser>
          <c:idx val="1"/>
          <c:order val="1"/>
          <c:tx>
            <c:strRef>
              <c:f>'datapoints-plots'!$C$8</c:f>
              <c:strCache>
                <c:ptCount val="1"/>
                <c:pt idx="0">
                  <c:v>single point w/modifications</c:v>
                </c:pt>
              </c:strCache>
            </c:strRef>
          </c:tx>
          <c:spPr>
            <a:ln w="28575">
              <a:noFill/>
            </a:ln>
          </c:spPr>
          <c:marker>
            <c:spPr>
              <a:noFill/>
            </c:spPr>
          </c:marker>
          <c:xVal>
            <c:numRef>
              <c:f>'datapoints-plots'!$N$8</c:f>
              <c:numCache>
                <c:formatCode>0.000</c:formatCode>
                <c:ptCount val="1"/>
                <c:pt idx="0">
                  <c:v>-2.3964580270700253E-2</c:v>
                </c:pt>
              </c:numCache>
            </c:numRef>
          </c:xVal>
          <c:yVal>
            <c:numRef>
              <c:f>'datapoints-plots'!$I$8</c:f>
              <c:numCache>
                <c:formatCode>0.000</c:formatCode>
                <c:ptCount val="1"/>
                <c:pt idx="0">
                  <c:v>-0.39917017368544699</c:v>
                </c:pt>
              </c:numCache>
            </c:numRef>
          </c:yVal>
          <c:smooth val="0"/>
          <c:extLst>
            <c:ext xmlns:c16="http://schemas.microsoft.com/office/drawing/2014/chart" uri="{C3380CC4-5D6E-409C-BE32-E72D297353CC}">
              <c16:uniqueId val="{00000001-BE30-44A9-81EB-8531A7FA5BF4}"/>
            </c:ext>
          </c:extLst>
        </c:ser>
        <c:ser>
          <c:idx val="2"/>
          <c:order val="2"/>
          <c:tx>
            <c:strRef>
              <c:f>'datapoints-plots'!$C$9</c:f>
              <c:strCache>
                <c:ptCount val="1"/>
                <c:pt idx="0">
                  <c:v> w/out added modifications</c:v>
                </c:pt>
              </c:strCache>
            </c:strRef>
          </c:tx>
          <c:spPr>
            <a:ln w="28575">
              <a:noFill/>
            </a:ln>
          </c:spPr>
          <c:marker>
            <c:spPr>
              <a:noFill/>
            </c:spPr>
          </c:marker>
          <c:xVal>
            <c:numRef>
              <c:f>'datapoints-plots'!$N$9</c:f>
              <c:numCache>
                <c:formatCode>0.000</c:formatCode>
                <c:ptCount val="1"/>
                <c:pt idx="0">
                  <c:v>-2.3964580270700253E-2</c:v>
                </c:pt>
              </c:numCache>
            </c:numRef>
          </c:xVal>
          <c:yVal>
            <c:numRef>
              <c:f>'datapoints-plots'!$I$9</c:f>
              <c:numCache>
                <c:formatCode>0.000</c:formatCode>
                <c:ptCount val="1"/>
                <c:pt idx="0">
                  <c:v>-0.39917017368544699</c:v>
                </c:pt>
              </c:numCache>
            </c:numRef>
          </c:yVal>
          <c:smooth val="0"/>
          <c:extLst>
            <c:ext xmlns:c16="http://schemas.microsoft.com/office/drawing/2014/chart" uri="{C3380CC4-5D6E-409C-BE32-E72D297353CC}">
              <c16:uniqueId val="{00000002-BE30-44A9-81EB-8531A7FA5BF4}"/>
            </c:ext>
          </c:extLst>
        </c:ser>
        <c:dLbls>
          <c:showLegendKey val="0"/>
          <c:showVal val="0"/>
          <c:showCatName val="0"/>
          <c:showSerName val="0"/>
          <c:showPercent val="0"/>
          <c:showBubbleSize val="0"/>
        </c:dLbls>
        <c:axId val="387074688"/>
        <c:axId val="387081344"/>
      </c:scatterChart>
      <c:valAx>
        <c:axId val="387074688"/>
        <c:scaling>
          <c:orientation val="minMax"/>
        </c:scaling>
        <c:delete val="0"/>
        <c:axPos val="b"/>
        <c:title>
          <c:tx>
            <c:rich>
              <a:bodyPr/>
              <a:lstStyle/>
              <a:p>
                <a:pPr>
                  <a:defRPr sz="1200" b="1"/>
                </a:pPr>
                <a:r>
                  <a:rPr lang="el-GR" sz="1200" b="1" i="0" baseline="0">
                    <a:effectLst/>
                  </a:rPr>
                  <a:t>δ </a:t>
                </a:r>
                <a:r>
                  <a:rPr lang="el-GR" sz="1200" b="1" i="0" baseline="30000">
                    <a:effectLst/>
                  </a:rPr>
                  <a:t>13</a:t>
                </a:r>
                <a:r>
                  <a:rPr lang="en-US" sz="1200" b="1" i="0" baseline="0">
                    <a:effectLst/>
                  </a:rPr>
                  <a:t>C calculated - </a:t>
                </a:r>
                <a:r>
                  <a:rPr lang="el-GR" sz="1200" b="1" i="0" baseline="0">
                    <a:effectLst/>
                  </a:rPr>
                  <a:t>δ </a:t>
                </a:r>
                <a:r>
                  <a:rPr lang="el-GR" sz="1200" b="1" i="0" baseline="30000">
                    <a:effectLst/>
                  </a:rPr>
                  <a:t>13</a:t>
                </a:r>
                <a:r>
                  <a:rPr lang="en-US" sz="1200" b="1" i="0" baseline="0">
                    <a:effectLst/>
                  </a:rPr>
                  <a:t>C initial </a:t>
                </a:r>
                <a:endParaRPr lang="en-US" sz="1200" b="1">
                  <a:effectLst/>
                </a:endParaRPr>
              </a:p>
            </c:rich>
          </c:tx>
          <c:overlay val="0"/>
        </c:title>
        <c:numFmt formatCode="0.000" sourceLinked="1"/>
        <c:majorTickMark val="out"/>
        <c:minorTickMark val="none"/>
        <c:tickLblPos val="nextTo"/>
        <c:crossAx val="387081344"/>
        <c:crossesAt val="-1000"/>
        <c:crossBetween val="midCat"/>
      </c:valAx>
      <c:valAx>
        <c:axId val="387081344"/>
        <c:scaling>
          <c:orientation val="minMax"/>
        </c:scaling>
        <c:delete val="0"/>
        <c:axPos val="l"/>
        <c:title>
          <c:tx>
            <c:rich>
              <a:bodyPr rot="-5400000" vert="horz"/>
              <a:lstStyle/>
              <a:p>
                <a:pPr>
                  <a:defRPr sz="1200"/>
                </a:pPr>
                <a:r>
                  <a:rPr lang="el-GR" sz="1200"/>
                  <a:t>Δ</a:t>
                </a:r>
                <a:r>
                  <a:rPr lang="en-US" sz="1200" baseline="-25000"/>
                  <a:t>47</a:t>
                </a:r>
                <a:r>
                  <a:rPr lang="en-US" sz="1200"/>
                  <a:t>, </a:t>
                </a:r>
                <a:r>
                  <a:rPr lang="el-GR" sz="1200"/>
                  <a:t>δ</a:t>
                </a:r>
                <a:r>
                  <a:rPr lang="en-US" sz="1200" baseline="30000"/>
                  <a:t>47</a:t>
                </a:r>
                <a:r>
                  <a:rPr lang="en-US" sz="1200"/>
                  <a:t> corrected</a:t>
                </a:r>
              </a:p>
            </c:rich>
          </c:tx>
          <c:overlay val="0"/>
        </c:title>
        <c:numFmt formatCode="0.000" sourceLinked="1"/>
        <c:majorTickMark val="out"/>
        <c:minorTickMark val="none"/>
        <c:tickLblPos val="nextTo"/>
        <c:crossAx val="387074688"/>
        <c:crossesAt val="-1000"/>
        <c:crossBetween val="midCat"/>
      </c:valAx>
    </c:plotArea>
    <c:legend>
      <c:legendPos val="r"/>
      <c:layout>
        <c:manualLayout>
          <c:xMode val="edge"/>
          <c:yMode val="edge"/>
          <c:x val="0.75086995071670748"/>
          <c:y val="0.18304171162278185"/>
          <c:w val="0.24290284687615057"/>
          <c:h val="0.30125356779382167"/>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Parameter sets</a:t>
            </a:r>
            <a:r>
              <a:rPr lang="en-US" baseline="0"/>
              <a:t> effects:</a:t>
            </a:r>
          </a:p>
          <a:p>
            <a:pPr>
              <a:defRPr/>
            </a:pPr>
            <a:r>
              <a:rPr lang="el-GR" sz="1400" b="1" i="0" u="none" strike="noStrike" baseline="0">
                <a:effectLst/>
              </a:rPr>
              <a:t>Δ</a:t>
            </a:r>
            <a:r>
              <a:rPr lang="en-US" sz="1400" b="1" i="0" u="none" strike="noStrike" baseline="-25000">
                <a:effectLst/>
              </a:rPr>
              <a:t>47</a:t>
            </a:r>
            <a:r>
              <a:rPr lang="en-US" sz="1400" b="1" i="0" u="none" strike="noStrike" baseline="0">
                <a:effectLst/>
              </a:rPr>
              <a:t> (</a:t>
            </a:r>
            <a:r>
              <a:rPr lang="el-GR" sz="1400" b="1" i="0" u="none" strike="noStrike" baseline="0">
                <a:effectLst/>
              </a:rPr>
              <a:t>δ</a:t>
            </a:r>
            <a:r>
              <a:rPr lang="en-US" sz="1400" b="1" i="0" u="none" strike="noStrike" baseline="30000">
                <a:effectLst/>
              </a:rPr>
              <a:t>47</a:t>
            </a:r>
            <a:r>
              <a:rPr lang="en-US" sz="1400" b="1" i="0" u="none" strike="noStrike" baseline="0">
                <a:effectLst/>
              </a:rPr>
              <a:t> corrected) vs (</a:t>
            </a:r>
            <a:r>
              <a:rPr lang="el-GR" sz="1400" b="1" i="0" u="none" strike="noStrike" baseline="0">
                <a:effectLst/>
              </a:rPr>
              <a:t>δ</a:t>
            </a:r>
            <a:r>
              <a:rPr lang="en-US" sz="1400" b="1" i="0" u="none" strike="noStrike" baseline="30000">
                <a:effectLst/>
              </a:rPr>
              <a:t>13</a:t>
            </a:r>
            <a:r>
              <a:rPr lang="en-US" sz="1400" b="1" i="0" u="none" strike="noStrike" baseline="0">
                <a:effectLst/>
              </a:rPr>
              <a:t>C - </a:t>
            </a:r>
            <a:r>
              <a:rPr lang="el-GR" sz="1400" b="1" i="0" u="none" strike="noStrike" baseline="0">
                <a:effectLst/>
              </a:rPr>
              <a:t>δ</a:t>
            </a:r>
            <a:r>
              <a:rPr lang="en-US" sz="1400" b="1" i="0" u="none" strike="noStrike" baseline="30000">
                <a:effectLst/>
              </a:rPr>
              <a:t>18</a:t>
            </a:r>
            <a:r>
              <a:rPr lang="en-US" sz="1400" b="1" i="0" u="none" strike="noStrike" baseline="0">
                <a:effectLst/>
              </a:rPr>
              <a:t>O)</a:t>
            </a:r>
          </a:p>
          <a:p>
            <a:pPr>
              <a:defRPr/>
            </a:pPr>
            <a:r>
              <a:rPr lang="en-US" sz="1200" b="0" i="0" u="none" strike="noStrike" baseline="0">
                <a:effectLst/>
              </a:rPr>
              <a:t>should always be a line except for baseline artifacts</a:t>
            </a:r>
            <a:r>
              <a:rPr lang="en-US" sz="1200" b="0"/>
              <a:t> </a:t>
            </a:r>
          </a:p>
        </c:rich>
      </c:tx>
      <c:layout>
        <c:manualLayout>
          <c:xMode val="edge"/>
          <c:yMode val="edge"/>
          <c:x val="0.21093826506980742"/>
          <c:y val="2.6058631921824105E-2"/>
        </c:manualLayout>
      </c:layout>
      <c:overlay val="0"/>
    </c:title>
    <c:autoTitleDeleted val="0"/>
    <c:plotArea>
      <c:layout>
        <c:manualLayout>
          <c:layoutTarget val="inner"/>
          <c:xMode val="edge"/>
          <c:yMode val="edge"/>
          <c:x val="0.17866626965746929"/>
          <c:y val="0.26565715116229366"/>
          <c:w val="0.41667660553871683"/>
          <c:h val="0.54213137038651926"/>
        </c:manualLayout>
      </c:layout>
      <c:scatterChart>
        <c:scatterStyle val="lineMarker"/>
        <c:varyColors val="0"/>
        <c:ser>
          <c:idx val="0"/>
          <c:order val="0"/>
          <c:tx>
            <c:strRef>
              <c:f>'datapoints-plots'!$I$6</c:f>
              <c:strCache>
                <c:ptCount val="1"/>
                <c:pt idx="0">
                  <c:v>Δ47, slope corr.</c:v>
                </c:pt>
              </c:strCache>
            </c:strRef>
          </c:tx>
          <c:spPr>
            <a:ln w="28575">
              <a:noFill/>
            </a:ln>
          </c:spPr>
          <c:trendline>
            <c:trendlineType val="linear"/>
            <c:dispRSqr val="1"/>
            <c:dispEq val="1"/>
            <c:trendlineLbl>
              <c:layout>
                <c:manualLayout>
                  <c:x val="0.17787338343413236"/>
                  <c:y val="-5.0708319440525961E-3"/>
                </c:manualLayout>
              </c:layout>
              <c:numFmt formatCode="General" sourceLinked="0"/>
            </c:trendlineLbl>
          </c:trendline>
          <c:xVal>
            <c:numRef>
              <c:f>'datapoints-plots'!$O$10:$O$45</c:f>
              <c:numCache>
                <c:formatCode>0.000</c:formatCode>
                <c:ptCount val="36"/>
                <c:pt idx="0">
                  <c:v>-7.7817596171314563E-3</c:v>
                </c:pt>
                <c:pt idx="1">
                  <c:v>-10.009684163413635</c:v>
                </c:pt>
                <c:pt idx="2">
                  <c:v>-15.010632423156146</c:v>
                </c:pt>
                <c:pt idx="3">
                  <c:v>-20.011578740394388</c:v>
                </c:pt>
                <c:pt idx="4">
                  <c:v>-40.01534486147618</c:v>
                </c:pt>
                <c:pt idx="5">
                  <c:v>-50.017216622713633</c:v>
                </c:pt>
                <c:pt idx="6">
                  <c:v>-60.020764738273563</c:v>
                </c:pt>
                <c:pt idx="7">
                  <c:v>-50.018891468265323</c:v>
                </c:pt>
                <c:pt idx="8">
                  <c:v>-40.01701069821695</c:v>
                </c:pt>
                <c:pt idx="9">
                  <c:v>-30.015122320822265</c:v>
                </c:pt>
                <c:pt idx="10">
                  <c:v>-20.013226226167635</c:v>
                </c:pt>
                <c:pt idx="11">
                  <c:v>-10.011322301644254</c:v>
                </c:pt>
                <c:pt idx="12">
                  <c:v>-70.024312885366697</c:v>
                </c:pt>
                <c:pt idx="13">
                  <c:v>-60.022438106329346</c:v>
                </c:pt>
                <c:pt idx="14">
                  <c:v>-50.020555824326188</c:v>
                </c:pt>
                <c:pt idx="15">
                  <c:v>-40.018665932008538</c:v>
                </c:pt>
                <c:pt idx="16">
                  <c:v>-30.016768319421239</c:v>
                </c:pt>
                <c:pt idx="17">
                  <c:v>-20.01486287391241</c:v>
                </c:pt>
                <c:pt idx="18">
                  <c:v>-80.027861064002948</c:v>
                </c:pt>
                <c:pt idx="19">
                  <c:v>-70.02598477567868</c:v>
                </c:pt>
                <c:pt idx="20">
                  <c:v>-60.024100981462269</c:v>
                </c:pt>
                <c:pt idx="21">
                  <c:v>-50.022209573962968</c:v>
                </c:pt>
                <c:pt idx="22">
                  <c:v>-40.020310443185103</c:v>
                </c:pt>
                <c:pt idx="23">
                  <c:v>-30.018403476433143</c:v>
                </c:pt>
                <c:pt idx="24">
                  <c:v>-90.031409274191617</c:v>
                </c:pt>
                <c:pt idx="25">
                  <c:v>-80.029531476322745</c:v>
                </c:pt>
                <c:pt idx="26">
                  <c:v>-70.027646169634522</c:v>
                </c:pt>
                <c:pt idx="27">
                  <c:v>-60.025753246696013</c:v>
                </c:pt>
                <c:pt idx="28">
                  <c:v>-50.023852597468441</c:v>
                </c:pt>
                <c:pt idx="29">
                  <c:v>-40.021944109214338</c:v>
                </c:pt>
                <c:pt idx="30">
                  <c:v>-100.0349575159436</c:v>
                </c:pt>
                <c:pt idx="31">
                  <c:v>-90.033078208271888</c:v>
                </c:pt>
                <c:pt idx="32">
                  <c:v>-80.031191388853173</c:v>
                </c:pt>
                <c:pt idx="33">
                  <c:v>-70.029296950216434</c:v>
                </c:pt>
                <c:pt idx="34">
                  <c:v>-60.027394782281135</c:v>
                </c:pt>
                <c:pt idx="35">
                  <c:v>-50.025484772266424</c:v>
                </c:pt>
              </c:numCache>
            </c:numRef>
          </c:xVal>
          <c:yVal>
            <c:numRef>
              <c:f>'datapoints-plots'!$I$10:$I$45</c:f>
              <c:numCache>
                <c:formatCode>0.000</c:formatCode>
                <c:ptCount val="36"/>
                <c:pt idx="0">
                  <c:v>-0.41022009615012928</c:v>
                </c:pt>
                <c:pt idx="1">
                  <c:v>-0.40912814028149624</c:v>
                </c:pt>
                <c:pt idx="2">
                  <c:v>-0.40858336512103077</c:v>
                </c:pt>
                <c:pt idx="3">
                  <c:v>-0.40803938522250449</c:v>
                </c:pt>
                <c:pt idx="4">
                  <c:v>-0.40587132131051368</c:v>
                </c:pt>
                <c:pt idx="5">
                  <c:v>-0.40479193623513154</c:v>
                </c:pt>
                <c:pt idx="6">
                  <c:v>-0.40373229654060333</c:v>
                </c:pt>
                <c:pt idx="7">
                  <c:v>-0.40481670711584944</c:v>
                </c:pt>
                <c:pt idx="8">
                  <c:v>-0.40590424969458039</c:v>
                </c:pt>
                <c:pt idx="9">
                  <c:v>-0.40699496275742375</c:v>
                </c:pt>
                <c:pt idx="10">
                  <c:v>-0.4080888855500443</c:v>
                </c:pt>
                <c:pt idx="11">
                  <c:v>-0.40918605809866754</c:v>
                </c:pt>
                <c:pt idx="12">
                  <c:v>-0.40264125750055596</c:v>
                </c:pt>
                <c:pt idx="13">
                  <c:v>-0.40373083579646213</c:v>
                </c:pt>
                <c:pt idx="14">
                  <c:v>-0.40482359356006509</c:v>
                </c:pt>
                <c:pt idx="15">
                  <c:v>-0.40591957002583434</c:v>
                </c:pt>
                <c:pt idx="16">
                  <c:v>-0.40701880521115136</c:v>
                </c:pt>
                <c:pt idx="17">
                  <c:v>-0.40812133993616273</c:v>
                </c:pt>
                <c:pt idx="18">
                  <c:v>-0.40151788109632652</c:v>
                </c:pt>
                <c:pt idx="19">
                  <c:v>-0.40261277341187107</c:v>
                </c:pt>
                <c:pt idx="20">
                  <c:v>-0.40371089348699557</c:v>
                </c:pt>
                <c:pt idx="21">
                  <c:v>-0.40481228131844921</c:v>
                </c:pt>
                <c:pt idx="22">
                  <c:v>-0.40591697771131729</c:v>
                </c:pt>
                <c:pt idx="23">
                  <c:v>-0.40702502429065862</c:v>
                </c:pt>
                <c:pt idx="24">
                  <c:v>-0.40036119160463496</c:v>
                </c:pt>
                <c:pt idx="25">
                  <c:v>-0.40146154847751675</c:v>
                </c:pt>
                <c:pt idx="26">
                  <c:v>-0.40256518225096011</c:v>
                </c:pt>
                <c:pt idx="27">
                  <c:v>-0.40367213370186855</c:v>
                </c:pt>
                <c:pt idx="28">
                  <c:v>-0.40478244442980355</c:v>
                </c:pt>
                <c:pt idx="29">
                  <c:v>-0.4058961568817227</c:v>
                </c:pt>
                <c:pt idx="30">
                  <c:v>-0.39917017368544699</c:v>
                </c:pt>
                <c:pt idx="31">
                  <c:v>-0.40027615005251249</c:v>
                </c:pt>
                <c:pt idx="32">
                  <c:v>-0.40138545334130599</c:v>
                </c:pt>
                <c:pt idx="33">
                  <c:v>-0.40249812511798916</c:v>
                </c:pt>
                <c:pt idx="34">
                  <c:v>-0.403614207793697</c:v>
                </c:pt>
                <c:pt idx="35">
                  <c:v>-0.40473374464650064</c:v>
                </c:pt>
              </c:numCache>
            </c:numRef>
          </c:yVal>
          <c:smooth val="0"/>
          <c:extLst>
            <c:ext xmlns:c16="http://schemas.microsoft.com/office/drawing/2014/chart" uri="{C3380CC4-5D6E-409C-BE32-E72D297353CC}">
              <c16:uniqueId val="{00000001-DAA5-4CF5-BD47-951584E68229}"/>
            </c:ext>
          </c:extLst>
        </c:ser>
        <c:ser>
          <c:idx val="1"/>
          <c:order val="1"/>
          <c:tx>
            <c:strRef>
              <c:f>'datapoints-plots'!$C$8</c:f>
              <c:strCache>
                <c:ptCount val="1"/>
                <c:pt idx="0">
                  <c:v>single point w/modifications</c:v>
                </c:pt>
              </c:strCache>
            </c:strRef>
          </c:tx>
          <c:spPr>
            <a:ln w="28575">
              <a:noFill/>
            </a:ln>
          </c:spPr>
          <c:marker>
            <c:spPr>
              <a:noFill/>
            </c:spPr>
          </c:marker>
          <c:xVal>
            <c:numRef>
              <c:f>'datapoints-plots'!$O$8</c:f>
              <c:numCache>
                <c:formatCode>0.000</c:formatCode>
                <c:ptCount val="1"/>
                <c:pt idx="0">
                  <c:v>-100.0349575159436</c:v>
                </c:pt>
              </c:numCache>
            </c:numRef>
          </c:xVal>
          <c:yVal>
            <c:numRef>
              <c:f>'datapoints-plots'!$I$8</c:f>
              <c:numCache>
                <c:formatCode>0.000</c:formatCode>
                <c:ptCount val="1"/>
                <c:pt idx="0">
                  <c:v>-0.39917017368544699</c:v>
                </c:pt>
              </c:numCache>
            </c:numRef>
          </c:yVal>
          <c:smooth val="0"/>
          <c:extLst>
            <c:ext xmlns:c16="http://schemas.microsoft.com/office/drawing/2014/chart" uri="{C3380CC4-5D6E-409C-BE32-E72D297353CC}">
              <c16:uniqueId val="{00000002-DAA5-4CF5-BD47-951584E68229}"/>
            </c:ext>
          </c:extLst>
        </c:ser>
        <c:ser>
          <c:idx val="2"/>
          <c:order val="2"/>
          <c:tx>
            <c:strRef>
              <c:f>'datapoints-plots'!$C$9</c:f>
              <c:strCache>
                <c:ptCount val="1"/>
                <c:pt idx="0">
                  <c:v> w/out added modifications</c:v>
                </c:pt>
              </c:strCache>
            </c:strRef>
          </c:tx>
          <c:spPr>
            <a:ln w="28575">
              <a:noFill/>
            </a:ln>
          </c:spPr>
          <c:marker>
            <c:symbol val="triangle"/>
            <c:size val="7"/>
            <c:spPr>
              <a:noFill/>
            </c:spPr>
          </c:marker>
          <c:xVal>
            <c:numRef>
              <c:f>'datapoints-plots'!$O$9</c:f>
              <c:numCache>
                <c:formatCode>0.000</c:formatCode>
                <c:ptCount val="1"/>
                <c:pt idx="0">
                  <c:v>-100.0349575159436</c:v>
                </c:pt>
              </c:numCache>
            </c:numRef>
          </c:xVal>
          <c:yVal>
            <c:numRef>
              <c:f>'datapoints-plots'!$I$9</c:f>
              <c:numCache>
                <c:formatCode>0.000</c:formatCode>
                <c:ptCount val="1"/>
                <c:pt idx="0">
                  <c:v>-0.39917017368544699</c:v>
                </c:pt>
              </c:numCache>
            </c:numRef>
          </c:yVal>
          <c:smooth val="0"/>
          <c:extLst>
            <c:ext xmlns:c16="http://schemas.microsoft.com/office/drawing/2014/chart" uri="{C3380CC4-5D6E-409C-BE32-E72D297353CC}">
              <c16:uniqueId val="{00000003-DAA5-4CF5-BD47-951584E68229}"/>
            </c:ext>
          </c:extLst>
        </c:ser>
        <c:ser>
          <c:idx val="3"/>
          <c:order val="3"/>
          <c:tx>
            <c:strRef>
              <c:f>'datapoints-plots'!$K$48</c:f>
              <c:strCache>
                <c:ptCount val="1"/>
                <c:pt idx="0">
                  <c:v> -10‰ δ13C</c:v>
                </c:pt>
              </c:strCache>
            </c:strRef>
          </c:tx>
          <c:spPr>
            <a:ln w="28575">
              <a:noFill/>
            </a:ln>
          </c:spPr>
          <c:marker>
            <c:symbol val="circle"/>
            <c:size val="9"/>
            <c:spPr>
              <a:noFill/>
              <a:ln w="19050">
                <a:solidFill>
                  <a:schemeClr val="accent2">
                    <a:lumMod val="50000"/>
                  </a:schemeClr>
                </a:solidFill>
              </a:ln>
            </c:spPr>
          </c:marker>
          <c:xVal>
            <c:numRef>
              <c:f>'datapoints-plots'!$O$16:$O$21</c:f>
              <c:numCache>
                <c:formatCode>0.000</c:formatCode>
                <c:ptCount val="6"/>
                <c:pt idx="0">
                  <c:v>-60.020764738273563</c:v>
                </c:pt>
                <c:pt idx="1">
                  <c:v>-50.018891468265323</c:v>
                </c:pt>
                <c:pt idx="2">
                  <c:v>-40.01701069821695</c:v>
                </c:pt>
                <c:pt idx="3">
                  <c:v>-30.015122320822265</c:v>
                </c:pt>
                <c:pt idx="4">
                  <c:v>-20.013226226167635</c:v>
                </c:pt>
                <c:pt idx="5">
                  <c:v>-10.011322301644254</c:v>
                </c:pt>
              </c:numCache>
            </c:numRef>
          </c:xVal>
          <c:yVal>
            <c:numRef>
              <c:f>'datapoints-plots'!$I$16:$I$21</c:f>
              <c:numCache>
                <c:formatCode>0.000</c:formatCode>
                <c:ptCount val="6"/>
                <c:pt idx="0">
                  <c:v>-0.40373229654060333</c:v>
                </c:pt>
                <c:pt idx="1">
                  <c:v>-0.40481670711584944</c:v>
                </c:pt>
                <c:pt idx="2">
                  <c:v>-0.40590424969458039</c:v>
                </c:pt>
                <c:pt idx="3">
                  <c:v>-0.40699496275742375</c:v>
                </c:pt>
                <c:pt idx="4">
                  <c:v>-0.4080888855500443</c:v>
                </c:pt>
                <c:pt idx="5">
                  <c:v>-0.40918605809866754</c:v>
                </c:pt>
              </c:numCache>
            </c:numRef>
          </c:yVal>
          <c:smooth val="0"/>
          <c:extLst>
            <c:ext xmlns:c16="http://schemas.microsoft.com/office/drawing/2014/chart" uri="{C3380CC4-5D6E-409C-BE32-E72D297353CC}">
              <c16:uniqueId val="{00000004-DAA5-4CF5-BD47-951584E68229}"/>
            </c:ext>
          </c:extLst>
        </c:ser>
        <c:ser>
          <c:idx val="4"/>
          <c:order val="4"/>
          <c:tx>
            <c:strRef>
              <c:f>'datapoints-plots'!$L$48</c:f>
              <c:strCache>
                <c:ptCount val="1"/>
                <c:pt idx="0">
                  <c:v>10‰ δ18O</c:v>
                </c:pt>
              </c:strCache>
            </c:strRef>
          </c:tx>
          <c:spPr>
            <a:ln w="28575">
              <a:noFill/>
            </a:ln>
          </c:spPr>
          <c:marker>
            <c:symbol val="x"/>
            <c:size val="9"/>
            <c:spPr>
              <a:ln w="19050">
                <a:solidFill>
                  <a:schemeClr val="accent4">
                    <a:lumMod val="50000"/>
                  </a:schemeClr>
                </a:solidFill>
              </a:ln>
            </c:spPr>
          </c:marker>
          <c:xVal>
            <c:numRef>
              <c:f>'datapoints-plots'!$O$74:$O$79</c:f>
              <c:numCache>
                <c:formatCode>0.00</c:formatCode>
                <c:ptCount val="6"/>
                <c:pt idx="0">
                  <c:v>-10.009684163413635</c:v>
                </c:pt>
                <c:pt idx="1">
                  <c:v>-20.013226226167635</c:v>
                </c:pt>
                <c:pt idx="2">
                  <c:v>-30.016768319421239</c:v>
                </c:pt>
                <c:pt idx="3">
                  <c:v>-40.020310443185103</c:v>
                </c:pt>
                <c:pt idx="4">
                  <c:v>-50.023852597468441</c:v>
                </c:pt>
                <c:pt idx="5">
                  <c:v>-60.027394782281135</c:v>
                </c:pt>
              </c:numCache>
            </c:numRef>
          </c:xVal>
          <c:yVal>
            <c:numRef>
              <c:f>'datapoints-plots'!$I$74:$I$79</c:f>
              <c:numCache>
                <c:formatCode>0.000</c:formatCode>
                <c:ptCount val="6"/>
                <c:pt idx="0">
                  <c:v>-0.40912814028149624</c:v>
                </c:pt>
                <c:pt idx="1">
                  <c:v>-0.4080888855500443</c:v>
                </c:pt>
                <c:pt idx="2">
                  <c:v>-0.40701880521115136</c:v>
                </c:pt>
                <c:pt idx="3">
                  <c:v>-0.40591697771131729</c:v>
                </c:pt>
                <c:pt idx="4">
                  <c:v>-0.40478244442980355</c:v>
                </c:pt>
                <c:pt idx="5">
                  <c:v>-0.403614207793697</c:v>
                </c:pt>
              </c:numCache>
            </c:numRef>
          </c:yVal>
          <c:smooth val="0"/>
          <c:extLst>
            <c:ext xmlns:c16="http://schemas.microsoft.com/office/drawing/2014/chart" uri="{C3380CC4-5D6E-409C-BE32-E72D297353CC}">
              <c16:uniqueId val="{00000005-DAA5-4CF5-BD47-951584E68229}"/>
            </c:ext>
          </c:extLst>
        </c:ser>
        <c:dLbls>
          <c:showLegendKey val="0"/>
          <c:showVal val="0"/>
          <c:showCatName val="0"/>
          <c:showSerName val="0"/>
          <c:showPercent val="0"/>
          <c:showBubbleSize val="0"/>
        </c:dLbls>
        <c:axId val="387120128"/>
        <c:axId val="387130880"/>
      </c:scatterChart>
      <c:valAx>
        <c:axId val="387120128"/>
        <c:scaling>
          <c:orientation val="minMax"/>
        </c:scaling>
        <c:delete val="0"/>
        <c:axPos val="b"/>
        <c:title>
          <c:tx>
            <c:rich>
              <a:bodyPr/>
              <a:lstStyle/>
              <a:p>
                <a:pPr>
                  <a:defRPr/>
                </a:pPr>
                <a:r>
                  <a:rPr lang="en-US">
                    <a:latin typeface="Calibri"/>
                    <a:cs typeface="Calibri"/>
                  </a:rPr>
                  <a:t>(</a:t>
                </a:r>
                <a:r>
                  <a:rPr lang="el-GR">
                    <a:latin typeface="Calibri"/>
                    <a:cs typeface="Calibri"/>
                  </a:rPr>
                  <a:t>δ</a:t>
                </a:r>
                <a:r>
                  <a:rPr lang="en-US" baseline="30000">
                    <a:latin typeface="Calibri"/>
                    <a:cs typeface="Calibri"/>
                  </a:rPr>
                  <a:t>13</a:t>
                </a:r>
                <a:r>
                  <a:rPr lang="en-US" baseline="0">
                    <a:latin typeface="Calibri"/>
                    <a:cs typeface="Calibri"/>
                  </a:rPr>
                  <a:t>C - </a:t>
                </a:r>
                <a:r>
                  <a:rPr lang="el-GR" sz="1000" b="1" i="0" u="none" strike="noStrike" baseline="0">
                    <a:effectLst/>
                  </a:rPr>
                  <a:t>δ</a:t>
                </a:r>
                <a:r>
                  <a:rPr lang="en-US" sz="1000" b="1" i="0" u="none" strike="noStrike" baseline="30000">
                    <a:effectLst/>
                  </a:rPr>
                  <a:t>18</a:t>
                </a:r>
                <a:r>
                  <a:rPr lang="en-US" sz="1000" b="1" i="0" u="none" strike="noStrike" baseline="0">
                    <a:effectLst/>
                  </a:rPr>
                  <a:t>O)</a:t>
                </a:r>
                <a:r>
                  <a:rPr lang="en-US" baseline="0">
                    <a:latin typeface="Calibri"/>
                    <a:cs typeface="Calibri"/>
                  </a:rPr>
                  <a:t> </a:t>
                </a:r>
                <a:endParaRPr lang="en-US" baseline="0"/>
              </a:p>
            </c:rich>
          </c:tx>
          <c:overlay val="0"/>
        </c:title>
        <c:numFmt formatCode="0.0" sourceLinked="0"/>
        <c:majorTickMark val="out"/>
        <c:minorTickMark val="none"/>
        <c:tickLblPos val="nextTo"/>
        <c:crossAx val="387130880"/>
        <c:crossesAt val="-1000"/>
        <c:crossBetween val="midCat"/>
      </c:valAx>
      <c:valAx>
        <c:axId val="387130880"/>
        <c:scaling>
          <c:orientation val="minMax"/>
        </c:scaling>
        <c:delete val="0"/>
        <c:axPos val="l"/>
        <c:title>
          <c:tx>
            <c:rich>
              <a:bodyPr rot="-5400000" vert="horz"/>
              <a:lstStyle/>
              <a:p>
                <a:pPr>
                  <a:defRPr/>
                </a:pPr>
                <a:r>
                  <a:rPr lang="el-GR"/>
                  <a:t>Δ</a:t>
                </a:r>
                <a:r>
                  <a:rPr lang="en-US" baseline="-25000"/>
                  <a:t>47</a:t>
                </a:r>
                <a:r>
                  <a:rPr lang="en-US" baseline="0"/>
                  <a:t>, </a:t>
                </a:r>
                <a:r>
                  <a:rPr lang="el-GR" baseline="0"/>
                  <a:t>δ</a:t>
                </a:r>
                <a:r>
                  <a:rPr lang="en-US" baseline="30000"/>
                  <a:t>47</a:t>
                </a:r>
                <a:r>
                  <a:rPr lang="en-US" baseline="0"/>
                  <a:t> corrected</a:t>
                </a:r>
                <a:endParaRPr lang="en-US" baseline="-25000"/>
              </a:p>
            </c:rich>
          </c:tx>
          <c:overlay val="0"/>
        </c:title>
        <c:numFmt formatCode="0.000" sourceLinked="1"/>
        <c:majorTickMark val="out"/>
        <c:minorTickMark val="none"/>
        <c:tickLblPos val="nextTo"/>
        <c:crossAx val="387120128"/>
        <c:crossesAt val="-1000"/>
        <c:crossBetween val="midCat"/>
      </c:valAx>
    </c:plotArea>
    <c:legend>
      <c:legendPos val="r"/>
      <c:layout>
        <c:manualLayout>
          <c:xMode val="edge"/>
          <c:yMode val="edge"/>
          <c:x val="0.72988011388281637"/>
          <c:y val="0.3171906606136774"/>
          <c:w val="0.27011988611718363"/>
          <c:h val="0.42488223174057638"/>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Parameter sets</a:t>
            </a:r>
            <a:r>
              <a:rPr lang="en-US" baseline="0"/>
              <a:t> effects:</a:t>
            </a:r>
          </a:p>
          <a:p>
            <a:pPr>
              <a:defRPr/>
            </a:pPr>
            <a:r>
              <a:rPr lang="el-GR" sz="1400" b="1" i="0" u="none" strike="noStrike" baseline="0">
                <a:effectLst/>
              </a:rPr>
              <a:t>Δ</a:t>
            </a:r>
            <a:r>
              <a:rPr lang="en-US" sz="1400" b="1" i="0" u="none" strike="noStrike" baseline="-25000">
                <a:effectLst/>
              </a:rPr>
              <a:t>47</a:t>
            </a:r>
            <a:r>
              <a:rPr lang="en-US" sz="1400" b="1" i="0" u="none" strike="noStrike" baseline="0">
                <a:effectLst/>
              </a:rPr>
              <a:t> (</a:t>
            </a:r>
            <a:r>
              <a:rPr lang="el-GR" sz="1400" b="1" i="0" u="none" strike="noStrike" baseline="0">
                <a:effectLst/>
              </a:rPr>
              <a:t>δ</a:t>
            </a:r>
            <a:r>
              <a:rPr lang="en-US" sz="1400" b="1" i="0" u="none" strike="noStrike" baseline="30000">
                <a:effectLst/>
              </a:rPr>
              <a:t>47</a:t>
            </a:r>
            <a:r>
              <a:rPr lang="en-US" sz="1400" b="1" i="0" u="none" strike="noStrike" baseline="0">
                <a:effectLst/>
              </a:rPr>
              <a:t> corrected) vs </a:t>
            </a:r>
            <a:r>
              <a:rPr lang="el-GR" sz="1400" b="1" i="0" u="none" strike="noStrike" baseline="0">
                <a:effectLst/>
              </a:rPr>
              <a:t>δ</a:t>
            </a:r>
            <a:r>
              <a:rPr lang="en-US" sz="1400" b="1" i="0" u="none" strike="noStrike" baseline="30000">
                <a:effectLst/>
              </a:rPr>
              <a:t>13</a:t>
            </a:r>
            <a:r>
              <a:rPr lang="en-US" sz="1400" b="1" i="0" u="none" strike="noStrike" baseline="0">
                <a:effectLst/>
              </a:rPr>
              <a:t>C </a:t>
            </a:r>
            <a:r>
              <a:rPr lang="en-US" sz="1400"/>
              <a:t> </a:t>
            </a:r>
          </a:p>
        </c:rich>
      </c:tx>
      <c:layout>
        <c:manualLayout>
          <c:xMode val="edge"/>
          <c:yMode val="edge"/>
          <c:x val="0.21093826506980742"/>
          <c:y val="2.6058631921824105E-2"/>
        </c:manualLayout>
      </c:layout>
      <c:overlay val="0"/>
    </c:title>
    <c:autoTitleDeleted val="0"/>
    <c:plotArea>
      <c:layout>
        <c:manualLayout>
          <c:layoutTarget val="inner"/>
          <c:xMode val="edge"/>
          <c:yMode val="edge"/>
          <c:x val="0.17866626965746929"/>
          <c:y val="0.26565715116229366"/>
          <c:w val="0.46781581292058227"/>
          <c:h val="0.54213137038651926"/>
        </c:manualLayout>
      </c:layout>
      <c:scatterChart>
        <c:scatterStyle val="lineMarker"/>
        <c:varyColors val="0"/>
        <c:ser>
          <c:idx val="0"/>
          <c:order val="0"/>
          <c:tx>
            <c:strRef>
              <c:f>'datapoints-plots'!$I$6</c:f>
              <c:strCache>
                <c:ptCount val="1"/>
                <c:pt idx="0">
                  <c:v>Δ47, slope corr.</c:v>
                </c:pt>
              </c:strCache>
            </c:strRef>
          </c:tx>
          <c:spPr>
            <a:ln w="28575">
              <a:noFill/>
            </a:ln>
          </c:spPr>
          <c:trendline>
            <c:trendlineType val="linear"/>
            <c:dispRSqr val="1"/>
            <c:dispEq val="0"/>
            <c:trendlineLbl>
              <c:layout>
                <c:manualLayout>
                  <c:x val="0.20992625056632971"/>
                  <c:y val="1.9416074619337077E-2"/>
                </c:manualLayout>
              </c:layout>
              <c:numFmt formatCode="General" sourceLinked="0"/>
            </c:trendlineLbl>
          </c:trendline>
          <c:xVal>
            <c:numRef>
              <c:f>'datapoints-plots'!$K$10:$K$45</c:f>
              <c:numCache>
                <c:formatCode>0.000</c:formatCode>
                <c:ptCount val="36"/>
                <c:pt idx="0">
                  <c:v>1.3184104492580673E-3</c:v>
                </c:pt>
                <c:pt idx="1">
                  <c:v>-4.3936229121577242E-4</c:v>
                </c:pt>
                <c:pt idx="2">
                  <c:v>-1.3152061145715876E-3</c:v>
                </c:pt>
                <c:pt idx="3">
                  <c:v>-2.1890411757707895E-3</c:v>
                </c:pt>
                <c:pt idx="4">
                  <c:v>-5.6645808128585884E-3</c:v>
                </c:pt>
                <c:pt idx="5">
                  <c:v>-7.3906663972111986E-3</c:v>
                </c:pt>
                <c:pt idx="6">
                  <c:v>-10.010705446992452</c:v>
                </c:pt>
                <c:pt idx="7">
                  <c:v>-10.008979537159179</c:v>
                </c:pt>
                <c:pt idx="8">
                  <c:v>-10.007245874760429</c:v>
                </c:pt>
                <c:pt idx="9">
                  <c:v>-10.005504348728378</c:v>
                </c:pt>
                <c:pt idx="10">
                  <c:v>-10.003754845294699</c:v>
                </c:pt>
                <c:pt idx="11">
                  <c:v>-10.001997247901517</c:v>
                </c:pt>
                <c:pt idx="12">
                  <c:v>-20.014020228677044</c:v>
                </c:pt>
                <c:pt idx="13">
                  <c:v>-20.01229449459052</c:v>
                </c:pt>
                <c:pt idx="14">
                  <c:v>-20.0105610078406</c:v>
                </c:pt>
                <c:pt idx="15">
                  <c:v>-20.008819657356682</c:v>
                </c:pt>
                <c:pt idx="16">
                  <c:v>-20.007070329369991</c:v>
                </c:pt>
                <c:pt idx="17">
                  <c:v>-20.005312907319773</c:v>
                </c:pt>
                <c:pt idx="18">
                  <c:v>-30.017335011451539</c:v>
                </c:pt>
                <c:pt idx="19">
                  <c:v>-30.015609453107327</c:v>
                </c:pt>
                <c:pt idx="20">
                  <c:v>-30.013876142001795</c:v>
                </c:pt>
                <c:pt idx="21">
                  <c:v>-30.012134967062231</c:v>
                </c:pt>
                <c:pt idx="22">
                  <c:v>-30.010385814517981</c:v>
                </c:pt>
                <c:pt idx="23">
                  <c:v>-30.008628567806838</c:v>
                </c:pt>
                <c:pt idx="24">
                  <c:v>-40.02064979531572</c:v>
                </c:pt>
                <c:pt idx="25">
                  <c:v>-40.018924412709936</c:v>
                </c:pt>
                <c:pt idx="26">
                  <c:v>-40.017191277244677</c:v>
                </c:pt>
                <c:pt idx="27">
                  <c:v>-40.015450277845254</c:v>
                </c:pt>
                <c:pt idx="28">
                  <c:v>-40.013701300739001</c:v>
                </c:pt>
                <c:pt idx="29">
                  <c:v>-40.011944229362165</c:v>
                </c:pt>
                <c:pt idx="30">
                  <c:v>-50.0239645802707</c:v>
                </c:pt>
                <c:pt idx="31">
                  <c:v>-50.022239373399337</c:v>
                </c:pt>
                <c:pt idx="32">
                  <c:v>-50.020506413569919</c:v>
                </c:pt>
                <c:pt idx="33">
                  <c:v>-50.018765589706085</c:v>
                </c:pt>
                <c:pt idx="34">
                  <c:v>-50.017016788033828</c:v>
                </c:pt>
                <c:pt idx="35">
                  <c:v>-50.015259891987519</c:v>
                </c:pt>
              </c:numCache>
            </c:numRef>
          </c:xVal>
          <c:yVal>
            <c:numRef>
              <c:f>'datapoints-plots'!$I$10:$I$45</c:f>
              <c:numCache>
                <c:formatCode>0.000</c:formatCode>
                <c:ptCount val="36"/>
                <c:pt idx="0">
                  <c:v>-0.41022009615012928</c:v>
                </c:pt>
                <c:pt idx="1">
                  <c:v>-0.40912814028149624</c:v>
                </c:pt>
                <c:pt idx="2">
                  <c:v>-0.40858336512103077</c:v>
                </c:pt>
                <c:pt idx="3">
                  <c:v>-0.40803938522250449</c:v>
                </c:pt>
                <c:pt idx="4">
                  <c:v>-0.40587132131051368</c:v>
                </c:pt>
                <c:pt idx="5">
                  <c:v>-0.40479193623513154</c:v>
                </c:pt>
                <c:pt idx="6">
                  <c:v>-0.40373229654060333</c:v>
                </c:pt>
                <c:pt idx="7">
                  <c:v>-0.40481670711584944</c:v>
                </c:pt>
                <c:pt idx="8">
                  <c:v>-0.40590424969458039</c:v>
                </c:pt>
                <c:pt idx="9">
                  <c:v>-0.40699496275742375</c:v>
                </c:pt>
                <c:pt idx="10">
                  <c:v>-0.4080888855500443</c:v>
                </c:pt>
                <c:pt idx="11">
                  <c:v>-0.40918605809866754</c:v>
                </c:pt>
                <c:pt idx="12">
                  <c:v>-0.40264125750055596</c:v>
                </c:pt>
                <c:pt idx="13">
                  <c:v>-0.40373083579646213</c:v>
                </c:pt>
                <c:pt idx="14">
                  <c:v>-0.40482359356006509</c:v>
                </c:pt>
                <c:pt idx="15">
                  <c:v>-0.40591957002583434</c:v>
                </c:pt>
                <c:pt idx="16">
                  <c:v>-0.40701880521115136</c:v>
                </c:pt>
                <c:pt idx="17">
                  <c:v>-0.40812133993616273</c:v>
                </c:pt>
                <c:pt idx="18">
                  <c:v>-0.40151788109632652</c:v>
                </c:pt>
                <c:pt idx="19">
                  <c:v>-0.40261277341187107</c:v>
                </c:pt>
                <c:pt idx="20">
                  <c:v>-0.40371089348699557</c:v>
                </c:pt>
                <c:pt idx="21">
                  <c:v>-0.40481228131844921</c:v>
                </c:pt>
                <c:pt idx="22">
                  <c:v>-0.40591697771131729</c:v>
                </c:pt>
                <c:pt idx="23">
                  <c:v>-0.40702502429065862</c:v>
                </c:pt>
                <c:pt idx="24">
                  <c:v>-0.40036119160463496</c:v>
                </c:pt>
                <c:pt idx="25">
                  <c:v>-0.40146154847751675</c:v>
                </c:pt>
                <c:pt idx="26">
                  <c:v>-0.40256518225096011</c:v>
                </c:pt>
                <c:pt idx="27">
                  <c:v>-0.40367213370186855</c:v>
                </c:pt>
                <c:pt idx="28">
                  <c:v>-0.40478244442980355</c:v>
                </c:pt>
                <c:pt idx="29">
                  <c:v>-0.4058961568817227</c:v>
                </c:pt>
                <c:pt idx="30">
                  <c:v>-0.39917017368544699</c:v>
                </c:pt>
                <c:pt idx="31">
                  <c:v>-0.40027615005251249</c:v>
                </c:pt>
                <c:pt idx="32">
                  <c:v>-0.40138545334130599</c:v>
                </c:pt>
                <c:pt idx="33">
                  <c:v>-0.40249812511798916</c:v>
                </c:pt>
                <c:pt idx="34">
                  <c:v>-0.403614207793697</c:v>
                </c:pt>
                <c:pt idx="35">
                  <c:v>-0.40473374464650064</c:v>
                </c:pt>
              </c:numCache>
            </c:numRef>
          </c:yVal>
          <c:smooth val="0"/>
          <c:extLst>
            <c:ext xmlns:c16="http://schemas.microsoft.com/office/drawing/2014/chart" uri="{C3380CC4-5D6E-409C-BE32-E72D297353CC}">
              <c16:uniqueId val="{00000001-E463-4F54-BCD3-538F4983EC34}"/>
            </c:ext>
          </c:extLst>
        </c:ser>
        <c:ser>
          <c:idx val="1"/>
          <c:order val="1"/>
          <c:tx>
            <c:strRef>
              <c:f>'datapoints-plots'!$C$8</c:f>
              <c:strCache>
                <c:ptCount val="1"/>
                <c:pt idx="0">
                  <c:v>single point w/modifications</c:v>
                </c:pt>
              </c:strCache>
            </c:strRef>
          </c:tx>
          <c:spPr>
            <a:ln w="28575">
              <a:noFill/>
            </a:ln>
          </c:spPr>
          <c:marker>
            <c:spPr>
              <a:noFill/>
            </c:spPr>
          </c:marker>
          <c:xVal>
            <c:numRef>
              <c:f>'datapoints-plots'!$K$8</c:f>
              <c:numCache>
                <c:formatCode>0.000</c:formatCode>
                <c:ptCount val="1"/>
                <c:pt idx="0">
                  <c:v>-50.0239645802707</c:v>
                </c:pt>
              </c:numCache>
            </c:numRef>
          </c:xVal>
          <c:yVal>
            <c:numRef>
              <c:f>'datapoints-plots'!$I$8</c:f>
              <c:numCache>
                <c:formatCode>0.000</c:formatCode>
                <c:ptCount val="1"/>
                <c:pt idx="0">
                  <c:v>-0.39917017368544699</c:v>
                </c:pt>
              </c:numCache>
            </c:numRef>
          </c:yVal>
          <c:smooth val="0"/>
          <c:extLst>
            <c:ext xmlns:c16="http://schemas.microsoft.com/office/drawing/2014/chart" uri="{C3380CC4-5D6E-409C-BE32-E72D297353CC}">
              <c16:uniqueId val="{00000002-E463-4F54-BCD3-538F4983EC34}"/>
            </c:ext>
          </c:extLst>
        </c:ser>
        <c:ser>
          <c:idx val="2"/>
          <c:order val="2"/>
          <c:tx>
            <c:strRef>
              <c:f>'datapoints-plots'!$C$9</c:f>
              <c:strCache>
                <c:ptCount val="1"/>
                <c:pt idx="0">
                  <c:v> w/out added modifications</c:v>
                </c:pt>
              </c:strCache>
            </c:strRef>
          </c:tx>
          <c:spPr>
            <a:ln w="28575">
              <a:noFill/>
            </a:ln>
          </c:spPr>
          <c:marker>
            <c:spPr>
              <a:noFill/>
            </c:spPr>
          </c:marker>
          <c:xVal>
            <c:numRef>
              <c:f>'datapoints-plots'!$K$9</c:f>
              <c:numCache>
                <c:formatCode>0.000</c:formatCode>
                <c:ptCount val="1"/>
                <c:pt idx="0">
                  <c:v>-50.0239645802707</c:v>
                </c:pt>
              </c:numCache>
            </c:numRef>
          </c:xVal>
          <c:yVal>
            <c:numRef>
              <c:f>'datapoints-plots'!$I$9</c:f>
              <c:numCache>
                <c:formatCode>0.000</c:formatCode>
                <c:ptCount val="1"/>
                <c:pt idx="0">
                  <c:v>-0.39917017368544699</c:v>
                </c:pt>
              </c:numCache>
            </c:numRef>
          </c:yVal>
          <c:smooth val="0"/>
          <c:extLst>
            <c:ext xmlns:c16="http://schemas.microsoft.com/office/drawing/2014/chart" uri="{C3380CC4-5D6E-409C-BE32-E72D297353CC}">
              <c16:uniqueId val="{00000003-E463-4F54-BCD3-538F4983EC34}"/>
            </c:ext>
          </c:extLst>
        </c:ser>
        <c:ser>
          <c:idx val="3"/>
          <c:order val="3"/>
          <c:tx>
            <c:strRef>
              <c:f>'datapoints-plots'!$L$48</c:f>
              <c:strCache>
                <c:ptCount val="1"/>
                <c:pt idx="0">
                  <c:v>10‰ δ18O</c:v>
                </c:pt>
              </c:strCache>
            </c:strRef>
          </c:tx>
          <c:spPr>
            <a:ln w="28575">
              <a:noFill/>
            </a:ln>
          </c:spPr>
          <c:marker>
            <c:symbol val="x"/>
            <c:size val="9"/>
            <c:spPr>
              <a:ln w="19050">
                <a:solidFill>
                  <a:schemeClr val="accent4">
                    <a:lumMod val="50000"/>
                  </a:schemeClr>
                </a:solidFill>
              </a:ln>
            </c:spPr>
          </c:marker>
          <c:xVal>
            <c:numRef>
              <c:f>'datapoints-plots'!$K$74:$K$79</c:f>
              <c:numCache>
                <c:formatCode>0.00</c:formatCode>
                <c:ptCount val="6"/>
                <c:pt idx="0">
                  <c:v>-4.3936229121577242E-4</c:v>
                </c:pt>
                <c:pt idx="1">
                  <c:v>-10.003754845294699</c:v>
                </c:pt>
                <c:pt idx="2">
                  <c:v>-20.007070329369991</c:v>
                </c:pt>
                <c:pt idx="3">
                  <c:v>-30.010385814517981</c:v>
                </c:pt>
                <c:pt idx="4">
                  <c:v>-40.013701300739001</c:v>
                </c:pt>
                <c:pt idx="5">
                  <c:v>-50.017016788033828</c:v>
                </c:pt>
              </c:numCache>
            </c:numRef>
          </c:xVal>
          <c:yVal>
            <c:numRef>
              <c:f>'datapoints-plots'!$I$74:$I$79</c:f>
              <c:numCache>
                <c:formatCode>0.000</c:formatCode>
                <c:ptCount val="6"/>
                <c:pt idx="0">
                  <c:v>-0.40912814028149624</c:v>
                </c:pt>
                <c:pt idx="1">
                  <c:v>-0.4080888855500443</c:v>
                </c:pt>
                <c:pt idx="2">
                  <c:v>-0.40701880521115136</c:v>
                </c:pt>
                <c:pt idx="3">
                  <c:v>-0.40591697771131729</c:v>
                </c:pt>
                <c:pt idx="4">
                  <c:v>-0.40478244442980355</c:v>
                </c:pt>
                <c:pt idx="5">
                  <c:v>-0.403614207793697</c:v>
                </c:pt>
              </c:numCache>
            </c:numRef>
          </c:yVal>
          <c:smooth val="0"/>
          <c:extLst>
            <c:ext xmlns:c16="http://schemas.microsoft.com/office/drawing/2014/chart" uri="{C3380CC4-5D6E-409C-BE32-E72D297353CC}">
              <c16:uniqueId val="{00000004-E463-4F54-BCD3-538F4983EC34}"/>
            </c:ext>
          </c:extLst>
        </c:ser>
        <c:dLbls>
          <c:showLegendKey val="0"/>
          <c:showVal val="0"/>
          <c:showCatName val="0"/>
          <c:showSerName val="0"/>
          <c:showPercent val="0"/>
          <c:showBubbleSize val="0"/>
        </c:dLbls>
        <c:axId val="387193088"/>
        <c:axId val="387195648"/>
      </c:scatterChart>
      <c:valAx>
        <c:axId val="387193088"/>
        <c:scaling>
          <c:orientation val="minMax"/>
        </c:scaling>
        <c:delete val="0"/>
        <c:axPos val="b"/>
        <c:title>
          <c:tx>
            <c:rich>
              <a:bodyPr/>
              <a:lstStyle/>
              <a:p>
                <a:pPr>
                  <a:defRPr/>
                </a:pPr>
                <a:r>
                  <a:rPr lang="el-GR">
                    <a:latin typeface="Calibri"/>
                    <a:cs typeface="Calibri"/>
                  </a:rPr>
                  <a:t>δ</a:t>
                </a:r>
                <a:r>
                  <a:rPr lang="en-US" baseline="30000">
                    <a:latin typeface="Calibri"/>
                    <a:cs typeface="Calibri"/>
                  </a:rPr>
                  <a:t>13</a:t>
                </a:r>
                <a:r>
                  <a:rPr lang="en-US" baseline="0">
                    <a:latin typeface="Calibri"/>
                    <a:cs typeface="Calibri"/>
                  </a:rPr>
                  <a:t>C  </a:t>
                </a:r>
                <a:endParaRPr lang="en-US" baseline="0"/>
              </a:p>
            </c:rich>
          </c:tx>
          <c:overlay val="0"/>
        </c:title>
        <c:numFmt formatCode="0.0" sourceLinked="0"/>
        <c:majorTickMark val="out"/>
        <c:minorTickMark val="none"/>
        <c:tickLblPos val="nextTo"/>
        <c:crossAx val="387195648"/>
        <c:crossesAt val="-1000"/>
        <c:crossBetween val="midCat"/>
      </c:valAx>
      <c:valAx>
        <c:axId val="387195648"/>
        <c:scaling>
          <c:orientation val="minMax"/>
        </c:scaling>
        <c:delete val="0"/>
        <c:axPos val="l"/>
        <c:title>
          <c:tx>
            <c:rich>
              <a:bodyPr rot="-5400000" vert="horz"/>
              <a:lstStyle/>
              <a:p>
                <a:pPr>
                  <a:defRPr/>
                </a:pPr>
                <a:r>
                  <a:rPr lang="el-GR"/>
                  <a:t>Δ</a:t>
                </a:r>
                <a:r>
                  <a:rPr lang="en-US" baseline="-25000"/>
                  <a:t>47</a:t>
                </a:r>
                <a:r>
                  <a:rPr lang="en-US" baseline="0"/>
                  <a:t>, </a:t>
                </a:r>
                <a:r>
                  <a:rPr lang="el-GR" baseline="0"/>
                  <a:t>δ</a:t>
                </a:r>
                <a:r>
                  <a:rPr lang="en-US" baseline="30000"/>
                  <a:t>47</a:t>
                </a:r>
                <a:r>
                  <a:rPr lang="en-US" baseline="0"/>
                  <a:t> corrected</a:t>
                </a:r>
                <a:endParaRPr lang="en-US" baseline="-25000"/>
              </a:p>
            </c:rich>
          </c:tx>
          <c:overlay val="0"/>
        </c:title>
        <c:numFmt formatCode="0.000" sourceLinked="1"/>
        <c:majorTickMark val="out"/>
        <c:minorTickMark val="none"/>
        <c:tickLblPos val="nextTo"/>
        <c:crossAx val="387193088"/>
        <c:crossesAt val="-1000"/>
        <c:crossBetween val="midCat"/>
      </c:valAx>
    </c:plotArea>
    <c:legend>
      <c:legendPos val="r"/>
      <c:layout>
        <c:manualLayout>
          <c:xMode val="edge"/>
          <c:yMode val="edge"/>
          <c:x val="0.72438448020777757"/>
          <c:y val="0.23032855420759701"/>
          <c:w val="0.27286771187221787"/>
          <c:h val="0.4292253370608804"/>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Parameter sets</a:t>
            </a:r>
            <a:r>
              <a:rPr lang="en-US" baseline="0"/>
              <a:t> effects:</a:t>
            </a:r>
          </a:p>
          <a:p>
            <a:pPr>
              <a:defRPr/>
            </a:pPr>
            <a:r>
              <a:rPr lang="el-GR" sz="1400" b="1" i="0" u="none" strike="noStrike" baseline="0">
                <a:effectLst/>
              </a:rPr>
              <a:t>Δ</a:t>
            </a:r>
            <a:r>
              <a:rPr lang="en-US" sz="1400" b="1" i="0" u="none" strike="noStrike" baseline="-25000">
                <a:effectLst/>
              </a:rPr>
              <a:t>47</a:t>
            </a:r>
            <a:r>
              <a:rPr lang="en-US" sz="1400" b="1" i="0" u="none" strike="noStrike" baseline="0">
                <a:effectLst/>
              </a:rPr>
              <a:t> vs (</a:t>
            </a:r>
            <a:r>
              <a:rPr lang="el-GR" sz="1400" b="1" i="0" u="none" strike="noStrike" baseline="0">
                <a:effectLst/>
              </a:rPr>
              <a:t>δ</a:t>
            </a:r>
            <a:r>
              <a:rPr lang="en-US" sz="1400" b="1" i="0" u="none" strike="noStrike" baseline="30000">
                <a:effectLst/>
              </a:rPr>
              <a:t>13</a:t>
            </a:r>
            <a:r>
              <a:rPr lang="en-US" sz="1400" b="1" i="0" u="none" strike="noStrike" baseline="0">
                <a:effectLst/>
              </a:rPr>
              <a:t>C - </a:t>
            </a:r>
            <a:r>
              <a:rPr lang="el-GR" sz="1400" b="1" i="0" u="none" strike="noStrike" baseline="0">
                <a:effectLst/>
              </a:rPr>
              <a:t>δ</a:t>
            </a:r>
            <a:r>
              <a:rPr lang="en-US" sz="1400" b="1" i="0" u="none" strike="noStrike" baseline="30000">
                <a:effectLst/>
              </a:rPr>
              <a:t>18</a:t>
            </a:r>
            <a:r>
              <a:rPr lang="en-US" sz="1400" b="1" i="0" u="none" strike="noStrike" baseline="0">
                <a:effectLst/>
              </a:rPr>
              <a:t>O)</a:t>
            </a:r>
            <a:r>
              <a:rPr lang="en-US" sz="1400"/>
              <a:t> </a:t>
            </a:r>
          </a:p>
        </c:rich>
      </c:tx>
      <c:layout>
        <c:manualLayout>
          <c:xMode val="edge"/>
          <c:yMode val="edge"/>
          <c:x val="0.21093826506980742"/>
          <c:y val="2.6058631921824105E-2"/>
        </c:manualLayout>
      </c:layout>
      <c:overlay val="0"/>
    </c:title>
    <c:autoTitleDeleted val="0"/>
    <c:plotArea>
      <c:layout>
        <c:manualLayout>
          <c:layoutTarget val="inner"/>
          <c:xMode val="edge"/>
          <c:yMode val="edge"/>
          <c:x val="0.30459218624783319"/>
          <c:y val="0.23985064770129541"/>
          <c:w val="0.41103545478047421"/>
          <c:h val="0.54213137038651926"/>
        </c:manualLayout>
      </c:layout>
      <c:scatterChart>
        <c:scatterStyle val="lineMarker"/>
        <c:varyColors val="0"/>
        <c:ser>
          <c:idx val="0"/>
          <c:order val="0"/>
          <c:tx>
            <c:strRef>
              <c:f>'datapoints-plots'!$I$6</c:f>
              <c:strCache>
                <c:ptCount val="1"/>
                <c:pt idx="0">
                  <c:v>Δ47, slope corr.</c:v>
                </c:pt>
              </c:strCache>
            </c:strRef>
          </c:tx>
          <c:spPr>
            <a:ln w="28575">
              <a:noFill/>
            </a:ln>
          </c:spPr>
          <c:trendline>
            <c:trendlineType val="linear"/>
            <c:dispRSqr val="1"/>
            <c:dispEq val="1"/>
            <c:trendlineLbl>
              <c:layout>
                <c:manualLayout>
                  <c:x val="0.17594195994476447"/>
                  <c:y val="-8.5011938023876049E-2"/>
                </c:manualLayout>
              </c:layout>
              <c:numFmt formatCode="General" sourceLinked="0"/>
            </c:trendlineLbl>
          </c:trendline>
          <c:xVal>
            <c:numRef>
              <c:f>'datapoints-plots'!$O$10:$O$45</c:f>
              <c:numCache>
                <c:formatCode>0.000</c:formatCode>
                <c:ptCount val="36"/>
                <c:pt idx="0">
                  <c:v>-7.7817596171314563E-3</c:v>
                </c:pt>
                <c:pt idx="1">
                  <c:v>-10.009684163413635</c:v>
                </c:pt>
                <c:pt idx="2">
                  <c:v>-15.010632423156146</c:v>
                </c:pt>
                <c:pt idx="3">
                  <c:v>-20.011578740394388</c:v>
                </c:pt>
                <c:pt idx="4">
                  <c:v>-40.01534486147618</c:v>
                </c:pt>
                <c:pt idx="5">
                  <c:v>-50.017216622713633</c:v>
                </c:pt>
                <c:pt idx="6">
                  <c:v>-60.020764738273563</c:v>
                </c:pt>
                <c:pt idx="7">
                  <c:v>-50.018891468265323</c:v>
                </c:pt>
                <c:pt idx="8">
                  <c:v>-40.01701069821695</c:v>
                </c:pt>
                <c:pt idx="9">
                  <c:v>-30.015122320822265</c:v>
                </c:pt>
                <c:pt idx="10">
                  <c:v>-20.013226226167635</c:v>
                </c:pt>
                <c:pt idx="11">
                  <c:v>-10.011322301644254</c:v>
                </c:pt>
                <c:pt idx="12">
                  <c:v>-70.024312885366697</c:v>
                </c:pt>
                <c:pt idx="13">
                  <c:v>-60.022438106329346</c:v>
                </c:pt>
                <c:pt idx="14">
                  <c:v>-50.020555824326188</c:v>
                </c:pt>
                <c:pt idx="15">
                  <c:v>-40.018665932008538</c:v>
                </c:pt>
                <c:pt idx="16">
                  <c:v>-30.016768319421239</c:v>
                </c:pt>
                <c:pt idx="17">
                  <c:v>-20.01486287391241</c:v>
                </c:pt>
                <c:pt idx="18">
                  <c:v>-80.027861064002948</c:v>
                </c:pt>
                <c:pt idx="19">
                  <c:v>-70.02598477567868</c:v>
                </c:pt>
                <c:pt idx="20">
                  <c:v>-60.024100981462269</c:v>
                </c:pt>
                <c:pt idx="21">
                  <c:v>-50.022209573962968</c:v>
                </c:pt>
                <c:pt idx="22">
                  <c:v>-40.020310443185103</c:v>
                </c:pt>
                <c:pt idx="23">
                  <c:v>-30.018403476433143</c:v>
                </c:pt>
                <c:pt idx="24">
                  <c:v>-90.031409274191617</c:v>
                </c:pt>
                <c:pt idx="25">
                  <c:v>-80.029531476322745</c:v>
                </c:pt>
                <c:pt idx="26">
                  <c:v>-70.027646169634522</c:v>
                </c:pt>
                <c:pt idx="27">
                  <c:v>-60.025753246696013</c:v>
                </c:pt>
                <c:pt idx="28">
                  <c:v>-50.023852597468441</c:v>
                </c:pt>
                <c:pt idx="29">
                  <c:v>-40.021944109214338</c:v>
                </c:pt>
                <c:pt idx="30">
                  <c:v>-100.0349575159436</c:v>
                </c:pt>
                <c:pt idx="31">
                  <c:v>-90.033078208271888</c:v>
                </c:pt>
                <c:pt idx="32">
                  <c:v>-80.031191388853173</c:v>
                </c:pt>
                <c:pt idx="33">
                  <c:v>-70.029296950216434</c:v>
                </c:pt>
                <c:pt idx="34">
                  <c:v>-60.027394782281135</c:v>
                </c:pt>
                <c:pt idx="35">
                  <c:v>-50.025484772266424</c:v>
                </c:pt>
              </c:numCache>
            </c:numRef>
          </c:xVal>
          <c:yVal>
            <c:numRef>
              <c:f>'datapoints-plots'!$G$10:$G$45</c:f>
              <c:numCache>
                <c:formatCode>0.0000</c:formatCode>
                <c:ptCount val="36"/>
                <c:pt idx="0">
                  <c:v>-0.41020776750799737</c:v>
                </c:pt>
                <c:pt idx="1">
                  <c:v>-0.40942961164569525</c:v>
                </c:pt>
                <c:pt idx="2">
                  <c:v>-0.40904176740419462</c:v>
                </c:pt>
                <c:pt idx="3">
                  <c:v>-0.40865473897111482</c:v>
                </c:pt>
                <c:pt idx="4">
                  <c:v>-0.40711468543874751</c:v>
                </c:pt>
                <c:pt idx="5">
                  <c:v>-0.40634942761041959</c:v>
                </c:pt>
                <c:pt idx="6">
                  <c:v>-0.40497679959228261</c:v>
                </c:pt>
                <c:pt idx="7">
                  <c:v>-0.40575006376808442</c:v>
                </c:pt>
                <c:pt idx="8">
                  <c:v>-0.40652654119499587</c:v>
                </c:pt>
                <c:pt idx="9">
                  <c:v>-0.40730627072504966</c:v>
                </c:pt>
                <c:pt idx="10">
                  <c:v>-0.40808929198066224</c:v>
                </c:pt>
                <c:pt idx="11">
                  <c:v>-0.40887564537028798</c:v>
                </c:pt>
                <c:pt idx="12">
                  <c:v>-0.40357277222891064</c:v>
                </c:pt>
                <c:pt idx="13">
                  <c:v>-0.40435418497297704</c:v>
                </c:pt>
                <c:pt idx="14">
                  <c:v>-0.4051388584322968</c:v>
                </c:pt>
                <c:pt idx="15">
                  <c:v>-0.40592683221274406</c:v>
                </c:pt>
                <c:pt idx="16">
                  <c:v>-0.4067181467084513</c:v>
                </c:pt>
                <c:pt idx="17">
                  <c:v>-0.40751284312179337</c:v>
                </c:pt>
                <c:pt idx="18">
                  <c:v>-0.40213640750164092</c:v>
                </c:pt>
                <c:pt idx="19">
                  <c:v>-0.40292611511294485</c:v>
                </c:pt>
                <c:pt idx="20">
                  <c:v>-0.40371913173131713</c:v>
                </c:pt>
                <c:pt idx="21">
                  <c:v>-0.40451549772491102</c:v>
                </c:pt>
                <c:pt idx="22">
                  <c:v>-0.40531525427556225</c:v>
                </c:pt>
                <c:pt idx="23">
                  <c:v>-0.40611844339055736</c:v>
                </c:pt>
                <c:pt idx="24">
                  <c:v>-0.40066672968719352</c:v>
                </c:pt>
                <c:pt idx="25">
                  <c:v>-0.40146488270342839</c:v>
                </c:pt>
                <c:pt idx="26">
                  <c:v>-0.40226639386764518</c:v>
                </c:pt>
                <c:pt idx="27">
                  <c:v>-0.40307130432815086</c:v>
                </c:pt>
                <c:pt idx="28">
                  <c:v>-0.40387965606125675</c:v>
                </c:pt>
                <c:pt idx="29">
                  <c:v>-0.4046914918961475</c:v>
                </c:pt>
                <c:pt idx="30">
                  <c:v>-0.39916272344553416</c:v>
                </c:pt>
                <c:pt idx="31">
                  <c:v>-0.39996947680354111</c:v>
                </c:pt>
                <c:pt idx="32">
                  <c:v>-0.40077963833062835</c:v>
                </c:pt>
                <c:pt idx="33">
                  <c:v>-0.40159324996436041</c:v>
                </c:pt>
                <c:pt idx="34">
                  <c:v>-0.40241035449262164</c:v>
                </c:pt>
                <c:pt idx="35">
                  <c:v>-0.40323099557570963</c:v>
                </c:pt>
              </c:numCache>
            </c:numRef>
          </c:yVal>
          <c:smooth val="0"/>
          <c:extLst>
            <c:ext xmlns:c16="http://schemas.microsoft.com/office/drawing/2014/chart" uri="{C3380CC4-5D6E-409C-BE32-E72D297353CC}">
              <c16:uniqueId val="{00000001-E7B5-4440-A858-AC435D1F337A}"/>
            </c:ext>
          </c:extLst>
        </c:ser>
        <c:ser>
          <c:idx val="1"/>
          <c:order val="1"/>
          <c:tx>
            <c:strRef>
              <c:f>'datapoints-plots'!$C$8</c:f>
              <c:strCache>
                <c:ptCount val="1"/>
                <c:pt idx="0">
                  <c:v>single point w/modifications</c:v>
                </c:pt>
              </c:strCache>
            </c:strRef>
          </c:tx>
          <c:spPr>
            <a:ln w="28575">
              <a:noFill/>
            </a:ln>
          </c:spPr>
          <c:marker>
            <c:spPr>
              <a:noFill/>
            </c:spPr>
          </c:marker>
          <c:xVal>
            <c:numRef>
              <c:f>'datapoints-plots'!$O$8</c:f>
              <c:numCache>
                <c:formatCode>0.000</c:formatCode>
                <c:ptCount val="1"/>
                <c:pt idx="0">
                  <c:v>-100.0349575159436</c:v>
                </c:pt>
              </c:numCache>
            </c:numRef>
          </c:xVal>
          <c:yVal>
            <c:numRef>
              <c:f>'datapoints-plots'!$G$8</c:f>
              <c:numCache>
                <c:formatCode>0.0000</c:formatCode>
                <c:ptCount val="1"/>
                <c:pt idx="0">
                  <c:v>-0.39916272344553416</c:v>
                </c:pt>
              </c:numCache>
            </c:numRef>
          </c:yVal>
          <c:smooth val="0"/>
          <c:extLst>
            <c:ext xmlns:c16="http://schemas.microsoft.com/office/drawing/2014/chart" uri="{C3380CC4-5D6E-409C-BE32-E72D297353CC}">
              <c16:uniqueId val="{00000002-E7B5-4440-A858-AC435D1F337A}"/>
            </c:ext>
          </c:extLst>
        </c:ser>
        <c:ser>
          <c:idx val="2"/>
          <c:order val="2"/>
          <c:tx>
            <c:strRef>
              <c:f>'datapoints-plots'!$C$9</c:f>
              <c:strCache>
                <c:ptCount val="1"/>
                <c:pt idx="0">
                  <c:v> w/out added modifications</c:v>
                </c:pt>
              </c:strCache>
            </c:strRef>
          </c:tx>
          <c:spPr>
            <a:ln w="28575">
              <a:noFill/>
            </a:ln>
          </c:spPr>
          <c:marker>
            <c:spPr>
              <a:noFill/>
            </c:spPr>
          </c:marker>
          <c:xVal>
            <c:numRef>
              <c:f>'datapoints-plots'!$O$9</c:f>
              <c:numCache>
                <c:formatCode>0.000</c:formatCode>
                <c:ptCount val="1"/>
                <c:pt idx="0">
                  <c:v>-100.0349575159436</c:v>
                </c:pt>
              </c:numCache>
            </c:numRef>
          </c:xVal>
          <c:yVal>
            <c:numRef>
              <c:f>'datapoints-plots'!$G$9</c:f>
              <c:numCache>
                <c:formatCode>0.0000</c:formatCode>
                <c:ptCount val="1"/>
                <c:pt idx="0">
                  <c:v>-0.39916272344553416</c:v>
                </c:pt>
              </c:numCache>
            </c:numRef>
          </c:yVal>
          <c:smooth val="0"/>
          <c:extLst>
            <c:ext xmlns:c16="http://schemas.microsoft.com/office/drawing/2014/chart" uri="{C3380CC4-5D6E-409C-BE32-E72D297353CC}">
              <c16:uniqueId val="{00000003-E7B5-4440-A858-AC435D1F337A}"/>
            </c:ext>
          </c:extLst>
        </c:ser>
        <c:ser>
          <c:idx val="3"/>
          <c:order val="3"/>
          <c:tx>
            <c:strRef>
              <c:f>'datapoints-plots'!$K$48</c:f>
              <c:strCache>
                <c:ptCount val="1"/>
                <c:pt idx="0">
                  <c:v> -10‰ δ13C</c:v>
                </c:pt>
              </c:strCache>
            </c:strRef>
          </c:tx>
          <c:spPr>
            <a:ln w="28575">
              <a:noFill/>
            </a:ln>
          </c:spPr>
          <c:marker>
            <c:symbol val="circle"/>
            <c:size val="9"/>
            <c:spPr>
              <a:noFill/>
              <a:ln w="19050">
                <a:solidFill>
                  <a:schemeClr val="accent2">
                    <a:lumMod val="50000"/>
                  </a:schemeClr>
                </a:solidFill>
              </a:ln>
            </c:spPr>
          </c:marker>
          <c:xVal>
            <c:numRef>
              <c:f>'datapoints-plots'!$O$16:$O$21</c:f>
              <c:numCache>
                <c:formatCode>0.000</c:formatCode>
                <c:ptCount val="6"/>
                <c:pt idx="0">
                  <c:v>-60.020764738273563</c:v>
                </c:pt>
                <c:pt idx="1">
                  <c:v>-50.018891468265323</c:v>
                </c:pt>
                <c:pt idx="2">
                  <c:v>-40.01701069821695</c:v>
                </c:pt>
                <c:pt idx="3">
                  <c:v>-30.015122320822265</c:v>
                </c:pt>
                <c:pt idx="4">
                  <c:v>-20.013226226167635</c:v>
                </c:pt>
                <c:pt idx="5">
                  <c:v>-10.011322301644254</c:v>
                </c:pt>
              </c:numCache>
            </c:numRef>
          </c:xVal>
          <c:yVal>
            <c:numRef>
              <c:f>'datapoints-plots'!$G$16:$G$21</c:f>
              <c:numCache>
                <c:formatCode>0.0000</c:formatCode>
                <c:ptCount val="6"/>
                <c:pt idx="0">
                  <c:v>-0.40497679959228261</c:v>
                </c:pt>
                <c:pt idx="1">
                  <c:v>-0.40575006376808442</c:v>
                </c:pt>
                <c:pt idx="2">
                  <c:v>-0.40652654119499587</c:v>
                </c:pt>
                <c:pt idx="3">
                  <c:v>-0.40730627072504966</c:v>
                </c:pt>
                <c:pt idx="4">
                  <c:v>-0.40808929198066224</c:v>
                </c:pt>
                <c:pt idx="5">
                  <c:v>-0.40887564537028798</c:v>
                </c:pt>
              </c:numCache>
            </c:numRef>
          </c:yVal>
          <c:smooth val="0"/>
          <c:extLst>
            <c:ext xmlns:c16="http://schemas.microsoft.com/office/drawing/2014/chart" uri="{C3380CC4-5D6E-409C-BE32-E72D297353CC}">
              <c16:uniqueId val="{00000004-E7B5-4440-A858-AC435D1F337A}"/>
            </c:ext>
          </c:extLst>
        </c:ser>
        <c:ser>
          <c:idx val="4"/>
          <c:order val="4"/>
          <c:tx>
            <c:strRef>
              <c:f>'datapoints-plots'!$L$48</c:f>
              <c:strCache>
                <c:ptCount val="1"/>
                <c:pt idx="0">
                  <c:v>10‰ δ18O</c:v>
                </c:pt>
              </c:strCache>
            </c:strRef>
          </c:tx>
          <c:spPr>
            <a:ln w="28575">
              <a:noFill/>
            </a:ln>
          </c:spPr>
          <c:marker>
            <c:symbol val="x"/>
            <c:size val="9"/>
            <c:spPr>
              <a:ln w="19050">
                <a:solidFill>
                  <a:schemeClr val="accent4">
                    <a:lumMod val="50000"/>
                  </a:schemeClr>
                </a:solidFill>
              </a:ln>
            </c:spPr>
          </c:marker>
          <c:xVal>
            <c:numRef>
              <c:f>'datapoints-plots'!$O$74:$O$79</c:f>
              <c:numCache>
                <c:formatCode>0.00</c:formatCode>
                <c:ptCount val="6"/>
                <c:pt idx="0">
                  <c:v>-10.009684163413635</c:v>
                </c:pt>
                <c:pt idx="1">
                  <c:v>-20.013226226167635</c:v>
                </c:pt>
                <c:pt idx="2">
                  <c:v>-30.016768319421239</c:v>
                </c:pt>
                <c:pt idx="3">
                  <c:v>-40.020310443185103</c:v>
                </c:pt>
                <c:pt idx="4">
                  <c:v>-50.023852597468441</c:v>
                </c:pt>
                <c:pt idx="5">
                  <c:v>-60.027394782281135</c:v>
                </c:pt>
              </c:numCache>
            </c:numRef>
          </c:xVal>
          <c:yVal>
            <c:numRef>
              <c:f>'datapoints-plots'!$G$74:$G$79</c:f>
              <c:numCache>
                <c:formatCode>0.000</c:formatCode>
                <c:ptCount val="6"/>
                <c:pt idx="0">
                  <c:v>-0.40942961164569525</c:v>
                </c:pt>
                <c:pt idx="1">
                  <c:v>-0.40808929198066224</c:v>
                </c:pt>
                <c:pt idx="2">
                  <c:v>-0.4067181467084513</c:v>
                </c:pt>
                <c:pt idx="3">
                  <c:v>-0.40531525427556225</c:v>
                </c:pt>
                <c:pt idx="4">
                  <c:v>-0.40387965606125675</c:v>
                </c:pt>
                <c:pt idx="5">
                  <c:v>-0.40241035449262164</c:v>
                </c:pt>
              </c:numCache>
            </c:numRef>
          </c:yVal>
          <c:smooth val="0"/>
          <c:extLst>
            <c:ext xmlns:c16="http://schemas.microsoft.com/office/drawing/2014/chart" uri="{C3380CC4-5D6E-409C-BE32-E72D297353CC}">
              <c16:uniqueId val="{00000005-E7B5-4440-A858-AC435D1F337A}"/>
            </c:ext>
          </c:extLst>
        </c:ser>
        <c:dLbls>
          <c:showLegendKey val="0"/>
          <c:showVal val="0"/>
          <c:showCatName val="0"/>
          <c:showSerName val="0"/>
          <c:showPercent val="0"/>
          <c:showBubbleSize val="0"/>
        </c:dLbls>
        <c:axId val="387255296"/>
        <c:axId val="387261952"/>
      </c:scatterChart>
      <c:valAx>
        <c:axId val="387255296"/>
        <c:scaling>
          <c:orientation val="minMax"/>
        </c:scaling>
        <c:delete val="0"/>
        <c:axPos val="b"/>
        <c:title>
          <c:tx>
            <c:rich>
              <a:bodyPr/>
              <a:lstStyle/>
              <a:p>
                <a:pPr>
                  <a:defRPr/>
                </a:pPr>
                <a:r>
                  <a:rPr lang="en-US">
                    <a:latin typeface="Calibri"/>
                    <a:cs typeface="Calibri"/>
                  </a:rPr>
                  <a:t>(</a:t>
                </a:r>
                <a:r>
                  <a:rPr lang="el-GR">
                    <a:latin typeface="Calibri"/>
                    <a:cs typeface="Calibri"/>
                  </a:rPr>
                  <a:t>δ</a:t>
                </a:r>
                <a:r>
                  <a:rPr lang="en-US" baseline="30000">
                    <a:latin typeface="Calibri"/>
                    <a:cs typeface="Calibri"/>
                  </a:rPr>
                  <a:t>13</a:t>
                </a:r>
                <a:r>
                  <a:rPr lang="en-US" baseline="0">
                    <a:latin typeface="Calibri"/>
                    <a:cs typeface="Calibri"/>
                  </a:rPr>
                  <a:t>C - </a:t>
                </a:r>
                <a:r>
                  <a:rPr lang="el-GR" sz="1000" b="1" i="0" u="none" strike="noStrike" baseline="0">
                    <a:effectLst/>
                  </a:rPr>
                  <a:t>δ</a:t>
                </a:r>
                <a:r>
                  <a:rPr lang="en-US" sz="1000" b="1" i="0" u="none" strike="noStrike" baseline="30000">
                    <a:effectLst/>
                  </a:rPr>
                  <a:t>18</a:t>
                </a:r>
                <a:r>
                  <a:rPr lang="en-US" sz="1000" b="1" i="0" u="none" strike="noStrike" baseline="0">
                    <a:effectLst/>
                  </a:rPr>
                  <a:t>O)</a:t>
                </a:r>
                <a:r>
                  <a:rPr lang="en-US" baseline="0">
                    <a:latin typeface="Calibri"/>
                    <a:cs typeface="Calibri"/>
                  </a:rPr>
                  <a:t> </a:t>
                </a:r>
                <a:endParaRPr lang="en-US" baseline="0"/>
              </a:p>
            </c:rich>
          </c:tx>
          <c:overlay val="0"/>
        </c:title>
        <c:numFmt formatCode="0.0" sourceLinked="0"/>
        <c:majorTickMark val="out"/>
        <c:minorTickMark val="none"/>
        <c:tickLblPos val="nextTo"/>
        <c:crossAx val="387261952"/>
        <c:crossesAt val="-1000"/>
        <c:crossBetween val="midCat"/>
      </c:valAx>
      <c:valAx>
        <c:axId val="387261952"/>
        <c:scaling>
          <c:orientation val="minMax"/>
        </c:scaling>
        <c:delete val="0"/>
        <c:axPos val="l"/>
        <c:title>
          <c:tx>
            <c:rich>
              <a:bodyPr rot="-5400000" vert="horz"/>
              <a:lstStyle/>
              <a:p>
                <a:pPr>
                  <a:defRPr/>
                </a:pPr>
                <a:r>
                  <a:rPr lang="el-GR"/>
                  <a:t>Δ</a:t>
                </a:r>
                <a:r>
                  <a:rPr lang="en-US" baseline="-25000"/>
                  <a:t>47</a:t>
                </a:r>
                <a:r>
                  <a:rPr lang="en-US" baseline="0"/>
                  <a:t> </a:t>
                </a:r>
                <a:endParaRPr lang="en-US" baseline="-25000"/>
              </a:p>
            </c:rich>
          </c:tx>
          <c:overlay val="0"/>
        </c:title>
        <c:numFmt formatCode="0.000" sourceLinked="0"/>
        <c:majorTickMark val="out"/>
        <c:minorTickMark val="none"/>
        <c:tickLblPos val="nextTo"/>
        <c:crossAx val="387255296"/>
        <c:crossesAt val="-1000"/>
        <c:crossBetween val="midCat"/>
      </c:valAx>
    </c:plotArea>
    <c:legend>
      <c:legendPos val="r"/>
      <c:layout>
        <c:manualLayout>
          <c:xMode val="edge"/>
          <c:yMode val="edge"/>
          <c:x val="0.72141803130866156"/>
          <c:y val="0.16057655082045327"/>
          <c:w val="0.2771554354846304"/>
          <c:h val="0.54815629500238416"/>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Parameter sets</a:t>
            </a:r>
            <a:r>
              <a:rPr lang="en-US" baseline="0"/>
              <a:t> effects:</a:t>
            </a:r>
          </a:p>
          <a:p>
            <a:pPr>
              <a:defRPr/>
            </a:pPr>
            <a:r>
              <a:rPr lang="el-GR" sz="1400" b="1" i="0" u="none" strike="noStrike" baseline="0">
                <a:effectLst/>
              </a:rPr>
              <a:t>Δ</a:t>
            </a:r>
            <a:r>
              <a:rPr lang="en-US" sz="1400" b="1" i="0" u="none" strike="noStrike" baseline="-25000">
                <a:effectLst/>
              </a:rPr>
              <a:t>47</a:t>
            </a:r>
            <a:r>
              <a:rPr lang="en-US" sz="1400" b="1" i="0" u="none" strike="noStrike" baseline="0">
                <a:effectLst/>
              </a:rPr>
              <a:t>  vs </a:t>
            </a:r>
            <a:r>
              <a:rPr lang="el-GR" sz="1400" b="1" i="0" u="none" strike="noStrike" baseline="0">
                <a:effectLst/>
              </a:rPr>
              <a:t>δ</a:t>
            </a:r>
            <a:r>
              <a:rPr lang="en-US" sz="1400" b="1" i="0" u="none" strike="noStrike" baseline="30000">
                <a:effectLst/>
              </a:rPr>
              <a:t>13</a:t>
            </a:r>
            <a:r>
              <a:rPr lang="en-US" sz="1400" b="1" i="0" u="none" strike="noStrike" baseline="0">
                <a:effectLst/>
              </a:rPr>
              <a:t>C </a:t>
            </a:r>
            <a:endParaRPr lang="en-US" sz="1400"/>
          </a:p>
        </c:rich>
      </c:tx>
      <c:layout>
        <c:manualLayout>
          <c:xMode val="edge"/>
          <c:yMode val="edge"/>
          <c:x val="0.21093826506980742"/>
          <c:y val="2.6058631921824105E-2"/>
        </c:manualLayout>
      </c:layout>
      <c:overlay val="0"/>
    </c:title>
    <c:autoTitleDeleted val="0"/>
    <c:plotArea>
      <c:layout>
        <c:manualLayout>
          <c:layoutTarget val="inner"/>
          <c:xMode val="edge"/>
          <c:yMode val="edge"/>
          <c:x val="0.17866626965746929"/>
          <c:y val="0.26565715116229366"/>
          <c:w val="0.49303997006696915"/>
          <c:h val="0.54213137038651926"/>
        </c:manualLayout>
      </c:layout>
      <c:scatterChart>
        <c:scatterStyle val="lineMarker"/>
        <c:varyColors val="0"/>
        <c:ser>
          <c:idx val="0"/>
          <c:order val="0"/>
          <c:tx>
            <c:strRef>
              <c:f>'datapoints-plots'!$I$6</c:f>
              <c:strCache>
                <c:ptCount val="1"/>
                <c:pt idx="0">
                  <c:v>Δ47, slope corr.</c:v>
                </c:pt>
              </c:strCache>
            </c:strRef>
          </c:tx>
          <c:spPr>
            <a:ln w="28575">
              <a:noFill/>
            </a:ln>
          </c:spPr>
          <c:trendline>
            <c:trendlineType val="linear"/>
            <c:dispRSqr val="1"/>
            <c:dispEq val="0"/>
            <c:trendlineLbl>
              <c:layout>
                <c:manualLayout>
                  <c:x val="0.19159585250556854"/>
                  <c:y val="2.4001727954629553E-2"/>
                </c:manualLayout>
              </c:layout>
              <c:numFmt formatCode="General" sourceLinked="0"/>
            </c:trendlineLbl>
          </c:trendline>
          <c:xVal>
            <c:numRef>
              <c:f>'datapoints-plots'!$K$10:$K$45</c:f>
              <c:numCache>
                <c:formatCode>0.000</c:formatCode>
                <c:ptCount val="36"/>
                <c:pt idx="0">
                  <c:v>1.3184104492580673E-3</c:v>
                </c:pt>
                <c:pt idx="1">
                  <c:v>-4.3936229121577242E-4</c:v>
                </c:pt>
                <c:pt idx="2">
                  <c:v>-1.3152061145715876E-3</c:v>
                </c:pt>
                <c:pt idx="3">
                  <c:v>-2.1890411757707895E-3</c:v>
                </c:pt>
                <c:pt idx="4">
                  <c:v>-5.6645808128585884E-3</c:v>
                </c:pt>
                <c:pt idx="5">
                  <c:v>-7.3906663972111986E-3</c:v>
                </c:pt>
                <c:pt idx="6">
                  <c:v>-10.010705446992452</c:v>
                </c:pt>
                <c:pt idx="7">
                  <c:v>-10.008979537159179</c:v>
                </c:pt>
                <c:pt idx="8">
                  <c:v>-10.007245874760429</c:v>
                </c:pt>
                <c:pt idx="9">
                  <c:v>-10.005504348728378</c:v>
                </c:pt>
                <c:pt idx="10">
                  <c:v>-10.003754845294699</c:v>
                </c:pt>
                <c:pt idx="11">
                  <c:v>-10.001997247901517</c:v>
                </c:pt>
                <c:pt idx="12">
                  <c:v>-20.014020228677044</c:v>
                </c:pt>
                <c:pt idx="13">
                  <c:v>-20.01229449459052</c:v>
                </c:pt>
                <c:pt idx="14">
                  <c:v>-20.0105610078406</c:v>
                </c:pt>
                <c:pt idx="15">
                  <c:v>-20.008819657356682</c:v>
                </c:pt>
                <c:pt idx="16">
                  <c:v>-20.007070329369991</c:v>
                </c:pt>
                <c:pt idx="17">
                  <c:v>-20.005312907319773</c:v>
                </c:pt>
                <c:pt idx="18">
                  <c:v>-30.017335011451539</c:v>
                </c:pt>
                <c:pt idx="19">
                  <c:v>-30.015609453107327</c:v>
                </c:pt>
                <c:pt idx="20">
                  <c:v>-30.013876142001795</c:v>
                </c:pt>
                <c:pt idx="21">
                  <c:v>-30.012134967062231</c:v>
                </c:pt>
                <c:pt idx="22">
                  <c:v>-30.010385814517981</c:v>
                </c:pt>
                <c:pt idx="23">
                  <c:v>-30.008628567806838</c:v>
                </c:pt>
                <c:pt idx="24">
                  <c:v>-40.02064979531572</c:v>
                </c:pt>
                <c:pt idx="25">
                  <c:v>-40.018924412709936</c:v>
                </c:pt>
                <c:pt idx="26">
                  <c:v>-40.017191277244677</c:v>
                </c:pt>
                <c:pt idx="27">
                  <c:v>-40.015450277845254</c:v>
                </c:pt>
                <c:pt idx="28">
                  <c:v>-40.013701300739001</c:v>
                </c:pt>
                <c:pt idx="29">
                  <c:v>-40.011944229362165</c:v>
                </c:pt>
                <c:pt idx="30">
                  <c:v>-50.0239645802707</c:v>
                </c:pt>
                <c:pt idx="31">
                  <c:v>-50.022239373399337</c:v>
                </c:pt>
                <c:pt idx="32">
                  <c:v>-50.020506413569919</c:v>
                </c:pt>
                <c:pt idx="33">
                  <c:v>-50.018765589706085</c:v>
                </c:pt>
                <c:pt idx="34">
                  <c:v>-50.017016788033828</c:v>
                </c:pt>
                <c:pt idx="35">
                  <c:v>-50.015259891987519</c:v>
                </c:pt>
              </c:numCache>
            </c:numRef>
          </c:xVal>
          <c:yVal>
            <c:numRef>
              <c:f>'datapoints-plots'!$G$10:$G$45</c:f>
              <c:numCache>
                <c:formatCode>0.0000</c:formatCode>
                <c:ptCount val="36"/>
                <c:pt idx="0">
                  <c:v>-0.41020776750799737</c:v>
                </c:pt>
                <c:pt idx="1">
                  <c:v>-0.40942961164569525</c:v>
                </c:pt>
                <c:pt idx="2">
                  <c:v>-0.40904176740419462</c:v>
                </c:pt>
                <c:pt idx="3">
                  <c:v>-0.40865473897111482</c:v>
                </c:pt>
                <c:pt idx="4">
                  <c:v>-0.40711468543874751</c:v>
                </c:pt>
                <c:pt idx="5">
                  <c:v>-0.40634942761041959</c:v>
                </c:pt>
                <c:pt idx="6">
                  <c:v>-0.40497679959228261</c:v>
                </c:pt>
                <c:pt idx="7">
                  <c:v>-0.40575006376808442</c:v>
                </c:pt>
                <c:pt idx="8">
                  <c:v>-0.40652654119499587</c:v>
                </c:pt>
                <c:pt idx="9">
                  <c:v>-0.40730627072504966</c:v>
                </c:pt>
                <c:pt idx="10">
                  <c:v>-0.40808929198066224</c:v>
                </c:pt>
                <c:pt idx="11">
                  <c:v>-0.40887564537028798</c:v>
                </c:pt>
                <c:pt idx="12">
                  <c:v>-0.40357277222891064</c:v>
                </c:pt>
                <c:pt idx="13">
                  <c:v>-0.40435418497297704</c:v>
                </c:pt>
                <c:pt idx="14">
                  <c:v>-0.4051388584322968</c:v>
                </c:pt>
                <c:pt idx="15">
                  <c:v>-0.40592683221274406</c:v>
                </c:pt>
                <c:pt idx="16">
                  <c:v>-0.4067181467084513</c:v>
                </c:pt>
                <c:pt idx="17">
                  <c:v>-0.40751284312179337</c:v>
                </c:pt>
                <c:pt idx="18">
                  <c:v>-0.40213640750164092</c:v>
                </c:pt>
                <c:pt idx="19">
                  <c:v>-0.40292611511294485</c:v>
                </c:pt>
                <c:pt idx="20">
                  <c:v>-0.40371913173131713</c:v>
                </c:pt>
                <c:pt idx="21">
                  <c:v>-0.40451549772491102</c:v>
                </c:pt>
                <c:pt idx="22">
                  <c:v>-0.40531525427556225</c:v>
                </c:pt>
                <c:pt idx="23">
                  <c:v>-0.40611844339055736</c:v>
                </c:pt>
                <c:pt idx="24">
                  <c:v>-0.40066672968719352</c:v>
                </c:pt>
                <c:pt idx="25">
                  <c:v>-0.40146488270342839</c:v>
                </c:pt>
                <c:pt idx="26">
                  <c:v>-0.40226639386764518</c:v>
                </c:pt>
                <c:pt idx="27">
                  <c:v>-0.40307130432815086</c:v>
                </c:pt>
                <c:pt idx="28">
                  <c:v>-0.40387965606125675</c:v>
                </c:pt>
                <c:pt idx="29">
                  <c:v>-0.4046914918961475</c:v>
                </c:pt>
                <c:pt idx="30">
                  <c:v>-0.39916272344553416</c:v>
                </c:pt>
                <c:pt idx="31">
                  <c:v>-0.39996947680354111</c:v>
                </c:pt>
                <c:pt idx="32">
                  <c:v>-0.40077963833062835</c:v>
                </c:pt>
                <c:pt idx="33">
                  <c:v>-0.40159324996436041</c:v>
                </c:pt>
                <c:pt idx="34">
                  <c:v>-0.40241035449262164</c:v>
                </c:pt>
                <c:pt idx="35">
                  <c:v>-0.40323099557570963</c:v>
                </c:pt>
              </c:numCache>
            </c:numRef>
          </c:yVal>
          <c:smooth val="0"/>
          <c:extLst>
            <c:ext xmlns:c16="http://schemas.microsoft.com/office/drawing/2014/chart" uri="{C3380CC4-5D6E-409C-BE32-E72D297353CC}">
              <c16:uniqueId val="{00000001-E6B1-4DC3-90AA-0C639A1B9DAF}"/>
            </c:ext>
          </c:extLst>
        </c:ser>
        <c:ser>
          <c:idx val="1"/>
          <c:order val="1"/>
          <c:tx>
            <c:strRef>
              <c:f>'datapoints-plots'!$C$8</c:f>
              <c:strCache>
                <c:ptCount val="1"/>
                <c:pt idx="0">
                  <c:v>single point w/modifications</c:v>
                </c:pt>
              </c:strCache>
            </c:strRef>
          </c:tx>
          <c:spPr>
            <a:ln w="28575">
              <a:noFill/>
            </a:ln>
          </c:spPr>
          <c:marker>
            <c:spPr>
              <a:noFill/>
            </c:spPr>
          </c:marker>
          <c:xVal>
            <c:numRef>
              <c:f>'datapoints-plots'!$K$8</c:f>
              <c:numCache>
                <c:formatCode>0.000</c:formatCode>
                <c:ptCount val="1"/>
                <c:pt idx="0">
                  <c:v>-50.0239645802707</c:v>
                </c:pt>
              </c:numCache>
            </c:numRef>
          </c:xVal>
          <c:yVal>
            <c:numRef>
              <c:f>'datapoints-plots'!$G$8</c:f>
              <c:numCache>
                <c:formatCode>0.0000</c:formatCode>
                <c:ptCount val="1"/>
                <c:pt idx="0">
                  <c:v>-0.39916272344553416</c:v>
                </c:pt>
              </c:numCache>
            </c:numRef>
          </c:yVal>
          <c:smooth val="0"/>
          <c:extLst>
            <c:ext xmlns:c16="http://schemas.microsoft.com/office/drawing/2014/chart" uri="{C3380CC4-5D6E-409C-BE32-E72D297353CC}">
              <c16:uniqueId val="{00000002-E6B1-4DC3-90AA-0C639A1B9DAF}"/>
            </c:ext>
          </c:extLst>
        </c:ser>
        <c:ser>
          <c:idx val="2"/>
          <c:order val="2"/>
          <c:tx>
            <c:strRef>
              <c:f>'datapoints-plots'!$C$9</c:f>
              <c:strCache>
                <c:ptCount val="1"/>
                <c:pt idx="0">
                  <c:v> w/out added modifications</c:v>
                </c:pt>
              </c:strCache>
            </c:strRef>
          </c:tx>
          <c:spPr>
            <a:ln w="28575">
              <a:noFill/>
            </a:ln>
          </c:spPr>
          <c:marker>
            <c:spPr>
              <a:noFill/>
            </c:spPr>
          </c:marker>
          <c:xVal>
            <c:numRef>
              <c:f>'datapoints-plots'!$K$9</c:f>
              <c:numCache>
                <c:formatCode>0.000</c:formatCode>
                <c:ptCount val="1"/>
                <c:pt idx="0">
                  <c:v>-50.0239645802707</c:v>
                </c:pt>
              </c:numCache>
            </c:numRef>
          </c:xVal>
          <c:yVal>
            <c:numRef>
              <c:f>'datapoints-plots'!$G$9</c:f>
              <c:numCache>
                <c:formatCode>0.0000</c:formatCode>
                <c:ptCount val="1"/>
                <c:pt idx="0">
                  <c:v>-0.39916272344553416</c:v>
                </c:pt>
              </c:numCache>
            </c:numRef>
          </c:yVal>
          <c:smooth val="0"/>
          <c:extLst>
            <c:ext xmlns:c16="http://schemas.microsoft.com/office/drawing/2014/chart" uri="{C3380CC4-5D6E-409C-BE32-E72D297353CC}">
              <c16:uniqueId val="{00000003-E6B1-4DC3-90AA-0C639A1B9DAF}"/>
            </c:ext>
          </c:extLst>
        </c:ser>
        <c:ser>
          <c:idx val="4"/>
          <c:order val="3"/>
          <c:tx>
            <c:strRef>
              <c:f>'datapoints-plots'!$L$48</c:f>
              <c:strCache>
                <c:ptCount val="1"/>
                <c:pt idx="0">
                  <c:v>10‰ δ18O</c:v>
                </c:pt>
              </c:strCache>
            </c:strRef>
          </c:tx>
          <c:spPr>
            <a:ln w="28575">
              <a:noFill/>
            </a:ln>
          </c:spPr>
          <c:marker>
            <c:symbol val="x"/>
            <c:size val="9"/>
            <c:spPr>
              <a:ln w="19050">
                <a:solidFill>
                  <a:schemeClr val="accent4">
                    <a:lumMod val="50000"/>
                  </a:schemeClr>
                </a:solidFill>
              </a:ln>
            </c:spPr>
          </c:marker>
          <c:xVal>
            <c:numRef>
              <c:f>'datapoints-plots'!$K$74:$K$79</c:f>
              <c:numCache>
                <c:formatCode>0.00</c:formatCode>
                <c:ptCount val="6"/>
                <c:pt idx="0">
                  <c:v>-4.3936229121577242E-4</c:v>
                </c:pt>
                <c:pt idx="1">
                  <c:v>-10.003754845294699</c:v>
                </c:pt>
                <c:pt idx="2">
                  <c:v>-20.007070329369991</c:v>
                </c:pt>
                <c:pt idx="3">
                  <c:v>-30.010385814517981</c:v>
                </c:pt>
                <c:pt idx="4">
                  <c:v>-40.013701300739001</c:v>
                </c:pt>
                <c:pt idx="5">
                  <c:v>-50.017016788033828</c:v>
                </c:pt>
              </c:numCache>
            </c:numRef>
          </c:xVal>
          <c:yVal>
            <c:numRef>
              <c:f>'datapoints-plots'!$G$74:$G$79</c:f>
              <c:numCache>
                <c:formatCode>0.000</c:formatCode>
                <c:ptCount val="6"/>
                <c:pt idx="0">
                  <c:v>-0.40942961164569525</c:v>
                </c:pt>
                <c:pt idx="1">
                  <c:v>-0.40808929198066224</c:v>
                </c:pt>
                <c:pt idx="2">
                  <c:v>-0.4067181467084513</c:v>
                </c:pt>
                <c:pt idx="3">
                  <c:v>-0.40531525427556225</c:v>
                </c:pt>
                <c:pt idx="4">
                  <c:v>-0.40387965606125675</c:v>
                </c:pt>
                <c:pt idx="5">
                  <c:v>-0.40241035449262164</c:v>
                </c:pt>
              </c:numCache>
            </c:numRef>
          </c:yVal>
          <c:smooth val="0"/>
          <c:extLst>
            <c:ext xmlns:c16="http://schemas.microsoft.com/office/drawing/2014/chart" uri="{C3380CC4-5D6E-409C-BE32-E72D297353CC}">
              <c16:uniqueId val="{00000004-E6B1-4DC3-90AA-0C639A1B9DAF}"/>
            </c:ext>
          </c:extLst>
        </c:ser>
        <c:dLbls>
          <c:showLegendKey val="0"/>
          <c:showVal val="0"/>
          <c:showCatName val="0"/>
          <c:showSerName val="0"/>
          <c:showPercent val="0"/>
          <c:showBubbleSize val="0"/>
        </c:dLbls>
        <c:axId val="387303680"/>
        <c:axId val="387392256"/>
      </c:scatterChart>
      <c:valAx>
        <c:axId val="387303680"/>
        <c:scaling>
          <c:orientation val="minMax"/>
        </c:scaling>
        <c:delete val="0"/>
        <c:axPos val="b"/>
        <c:title>
          <c:tx>
            <c:rich>
              <a:bodyPr/>
              <a:lstStyle/>
              <a:p>
                <a:pPr>
                  <a:defRPr/>
                </a:pPr>
                <a:r>
                  <a:rPr lang="el-GR">
                    <a:latin typeface="Calibri"/>
                    <a:cs typeface="Calibri"/>
                  </a:rPr>
                  <a:t>δ</a:t>
                </a:r>
                <a:r>
                  <a:rPr lang="en-US" baseline="30000">
                    <a:latin typeface="Calibri"/>
                    <a:cs typeface="Calibri"/>
                  </a:rPr>
                  <a:t>13</a:t>
                </a:r>
                <a:r>
                  <a:rPr lang="en-US" baseline="0">
                    <a:latin typeface="Calibri"/>
                    <a:cs typeface="Calibri"/>
                  </a:rPr>
                  <a:t>C </a:t>
                </a:r>
                <a:endParaRPr lang="en-US" baseline="0"/>
              </a:p>
            </c:rich>
          </c:tx>
          <c:overlay val="0"/>
        </c:title>
        <c:numFmt formatCode="0.0" sourceLinked="0"/>
        <c:majorTickMark val="out"/>
        <c:minorTickMark val="none"/>
        <c:tickLblPos val="nextTo"/>
        <c:crossAx val="387392256"/>
        <c:crossesAt val="-1000"/>
        <c:crossBetween val="midCat"/>
      </c:valAx>
      <c:valAx>
        <c:axId val="387392256"/>
        <c:scaling>
          <c:orientation val="minMax"/>
        </c:scaling>
        <c:delete val="0"/>
        <c:axPos val="l"/>
        <c:title>
          <c:tx>
            <c:rich>
              <a:bodyPr rot="-5400000" vert="horz"/>
              <a:lstStyle/>
              <a:p>
                <a:pPr>
                  <a:defRPr/>
                </a:pPr>
                <a:r>
                  <a:rPr lang="el-GR"/>
                  <a:t>Δ</a:t>
                </a:r>
                <a:r>
                  <a:rPr lang="en-US" baseline="-25000"/>
                  <a:t>47</a:t>
                </a:r>
              </a:p>
            </c:rich>
          </c:tx>
          <c:overlay val="0"/>
        </c:title>
        <c:numFmt formatCode="0.000" sourceLinked="0"/>
        <c:majorTickMark val="out"/>
        <c:minorTickMark val="none"/>
        <c:tickLblPos val="nextTo"/>
        <c:crossAx val="387303680"/>
        <c:crossesAt val="-1000"/>
        <c:crossBetween val="midCat"/>
      </c:valAx>
    </c:plotArea>
    <c:legend>
      <c:legendPos val="r"/>
      <c:layout>
        <c:manualLayout>
          <c:xMode val="edge"/>
          <c:yMode val="edge"/>
          <c:x val="0.72705651193486232"/>
          <c:y val="0.20839653135700234"/>
          <c:w val="0.27294348806513768"/>
          <c:h val="0.41224793958183359"/>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Parameter sets</a:t>
            </a:r>
            <a:r>
              <a:rPr lang="en-US" baseline="0"/>
              <a:t> effects:</a:t>
            </a:r>
          </a:p>
          <a:p>
            <a:pPr>
              <a:defRPr/>
            </a:pPr>
            <a:r>
              <a:rPr lang="el-GR" sz="1400" b="1" i="0" u="none" strike="noStrike" baseline="0">
                <a:effectLst/>
              </a:rPr>
              <a:t>Δ</a:t>
            </a:r>
            <a:r>
              <a:rPr lang="en-US" sz="1400" b="1" i="0" u="none" strike="noStrike" baseline="-25000">
                <a:effectLst/>
              </a:rPr>
              <a:t>47</a:t>
            </a:r>
            <a:r>
              <a:rPr lang="en-US" sz="1400" b="1" i="0" u="none" strike="noStrike" baseline="0">
                <a:effectLst/>
              </a:rPr>
              <a:t> vs </a:t>
            </a:r>
            <a:r>
              <a:rPr lang="el-GR" sz="1400" b="1" i="0" u="none" strike="noStrike" baseline="0">
                <a:effectLst/>
              </a:rPr>
              <a:t>δ</a:t>
            </a:r>
            <a:r>
              <a:rPr lang="en-US" sz="1400" b="1" i="0" u="none" strike="noStrike" baseline="30000">
                <a:effectLst/>
              </a:rPr>
              <a:t>18</a:t>
            </a:r>
            <a:r>
              <a:rPr lang="en-US" sz="1400" b="1" i="0" u="none" strike="noStrike" baseline="0">
                <a:effectLst/>
              </a:rPr>
              <a:t>O</a:t>
            </a:r>
            <a:endParaRPr lang="en-US" sz="1400"/>
          </a:p>
        </c:rich>
      </c:tx>
      <c:layout>
        <c:manualLayout>
          <c:xMode val="edge"/>
          <c:yMode val="edge"/>
          <c:x val="0.21093826506980742"/>
          <c:y val="2.6058631921824105E-2"/>
        </c:manualLayout>
      </c:layout>
      <c:overlay val="0"/>
    </c:title>
    <c:autoTitleDeleted val="0"/>
    <c:plotArea>
      <c:layout>
        <c:manualLayout>
          <c:layoutTarget val="inner"/>
          <c:xMode val="edge"/>
          <c:yMode val="edge"/>
          <c:x val="0.17866626965746929"/>
          <c:y val="0.26565715116229366"/>
          <c:w val="0.47016201052858342"/>
          <c:h val="0.54213137038651926"/>
        </c:manualLayout>
      </c:layout>
      <c:scatterChart>
        <c:scatterStyle val="lineMarker"/>
        <c:varyColors val="0"/>
        <c:ser>
          <c:idx val="0"/>
          <c:order val="0"/>
          <c:tx>
            <c:strRef>
              <c:f>'datapoints-plots'!$I$6</c:f>
              <c:strCache>
                <c:ptCount val="1"/>
                <c:pt idx="0">
                  <c:v>Δ47, slope corr.</c:v>
                </c:pt>
              </c:strCache>
            </c:strRef>
          </c:tx>
          <c:spPr>
            <a:ln w="28575">
              <a:noFill/>
            </a:ln>
          </c:spPr>
          <c:trendline>
            <c:trendlineType val="linear"/>
            <c:dispRSqr val="1"/>
            <c:dispEq val="0"/>
            <c:trendlineLbl>
              <c:layout>
                <c:manualLayout>
                  <c:x val="0.1783411934217585"/>
                  <c:y val="4.281308822940446E-2"/>
                </c:manualLayout>
              </c:layout>
              <c:numFmt formatCode="General" sourceLinked="0"/>
            </c:trendlineLbl>
          </c:trendline>
          <c:xVal>
            <c:numRef>
              <c:f>'datapoints-plots'!$L$10:$L$45</c:f>
              <c:numCache>
                <c:formatCode>0.000</c:formatCode>
                <c:ptCount val="36"/>
                <c:pt idx="0">
                  <c:v>9.1001700663895235E-3</c:v>
                </c:pt>
                <c:pt idx="1">
                  <c:v>10.009244801122419</c:v>
                </c:pt>
                <c:pt idx="2">
                  <c:v>15.009317217041573</c:v>
                </c:pt>
                <c:pt idx="3">
                  <c:v>20.009389699218616</c:v>
                </c:pt>
                <c:pt idx="4">
                  <c:v>40.009680280663318</c:v>
                </c:pt>
                <c:pt idx="5">
                  <c:v>50.009825956316419</c:v>
                </c:pt>
                <c:pt idx="6">
                  <c:v>50.010059291281109</c:v>
                </c:pt>
                <c:pt idx="7">
                  <c:v>40.009911931106146</c:v>
                </c:pt>
                <c:pt idx="8">
                  <c:v>30.009764823456521</c:v>
                </c:pt>
                <c:pt idx="9">
                  <c:v>20.009617972093885</c:v>
                </c:pt>
                <c:pt idx="10">
                  <c:v>10.009471380872936</c:v>
                </c:pt>
                <c:pt idx="11">
                  <c:v>9.3250537427369551E-3</c:v>
                </c:pt>
                <c:pt idx="12">
                  <c:v>50.010292656689657</c:v>
                </c:pt>
                <c:pt idx="13">
                  <c:v>40.010143611738826</c:v>
                </c:pt>
                <c:pt idx="14">
                  <c:v>30.009994816485587</c:v>
                </c:pt>
                <c:pt idx="15">
                  <c:v>20.009846274651856</c:v>
                </c:pt>
                <c:pt idx="16">
                  <c:v>10.009697990051247</c:v>
                </c:pt>
                <c:pt idx="17">
                  <c:v>9.5499665926368493E-3</c:v>
                </c:pt>
                <c:pt idx="18">
                  <c:v>50.010526052551405</c:v>
                </c:pt>
                <c:pt idx="19">
                  <c:v>40.010375322571349</c:v>
                </c:pt>
                <c:pt idx="20">
                  <c:v>30.010224839460477</c:v>
                </c:pt>
                <c:pt idx="21">
                  <c:v>20.010074606900741</c:v>
                </c:pt>
                <c:pt idx="22">
                  <c:v>10.009924628667122</c:v>
                </c:pt>
                <c:pt idx="23">
                  <c:v>9.7749086263032581E-3</c:v>
                </c:pt>
                <c:pt idx="24">
                  <c:v>50.010759478875897</c:v>
                </c:pt>
                <c:pt idx="25">
                  <c:v>40.010607063612809</c:v>
                </c:pt>
                <c:pt idx="26">
                  <c:v>30.010454892389848</c:v>
                </c:pt>
                <c:pt idx="27">
                  <c:v>20.010302968850759</c:v>
                </c:pt>
                <c:pt idx="28">
                  <c:v>10.010151296729441</c:v>
                </c:pt>
                <c:pt idx="29">
                  <c:v>9.9998798521738763E-3</c:v>
                </c:pt>
                <c:pt idx="30">
                  <c:v>50.010992935672903</c:v>
                </c:pt>
                <c:pt idx="31">
                  <c:v>40.010838834872551</c:v>
                </c:pt>
                <c:pt idx="32">
                  <c:v>30.010684975283255</c:v>
                </c:pt>
                <c:pt idx="33">
                  <c:v>20.010531360510342</c:v>
                </c:pt>
                <c:pt idx="34">
                  <c:v>10.01037799424731</c:v>
                </c:pt>
                <c:pt idx="35">
                  <c:v>1.0224880278908444E-2</c:v>
                </c:pt>
              </c:numCache>
            </c:numRef>
          </c:xVal>
          <c:yVal>
            <c:numRef>
              <c:f>'datapoints-plots'!$G$10:$G$45</c:f>
              <c:numCache>
                <c:formatCode>0.0000</c:formatCode>
                <c:ptCount val="36"/>
                <c:pt idx="0">
                  <c:v>-0.41020776750799737</c:v>
                </c:pt>
                <c:pt idx="1">
                  <c:v>-0.40942961164569525</c:v>
                </c:pt>
                <c:pt idx="2">
                  <c:v>-0.40904176740419462</c:v>
                </c:pt>
                <c:pt idx="3">
                  <c:v>-0.40865473897111482</c:v>
                </c:pt>
                <c:pt idx="4">
                  <c:v>-0.40711468543874751</c:v>
                </c:pt>
                <c:pt idx="5">
                  <c:v>-0.40634942761041959</c:v>
                </c:pt>
                <c:pt idx="6">
                  <c:v>-0.40497679959228261</c:v>
                </c:pt>
                <c:pt idx="7">
                  <c:v>-0.40575006376808442</c:v>
                </c:pt>
                <c:pt idx="8">
                  <c:v>-0.40652654119499587</c:v>
                </c:pt>
                <c:pt idx="9">
                  <c:v>-0.40730627072504966</c:v>
                </c:pt>
                <c:pt idx="10">
                  <c:v>-0.40808929198066224</c:v>
                </c:pt>
                <c:pt idx="11">
                  <c:v>-0.40887564537028798</c:v>
                </c:pt>
                <c:pt idx="12">
                  <c:v>-0.40357277222891064</c:v>
                </c:pt>
                <c:pt idx="13">
                  <c:v>-0.40435418497297704</c:v>
                </c:pt>
                <c:pt idx="14">
                  <c:v>-0.4051388584322968</c:v>
                </c:pt>
                <c:pt idx="15">
                  <c:v>-0.40592683221274406</c:v>
                </c:pt>
                <c:pt idx="16">
                  <c:v>-0.4067181467084513</c:v>
                </c:pt>
                <c:pt idx="17">
                  <c:v>-0.40751284312179337</c:v>
                </c:pt>
                <c:pt idx="18">
                  <c:v>-0.40213640750164092</c:v>
                </c:pt>
                <c:pt idx="19">
                  <c:v>-0.40292611511294485</c:v>
                </c:pt>
                <c:pt idx="20">
                  <c:v>-0.40371913173131713</c:v>
                </c:pt>
                <c:pt idx="21">
                  <c:v>-0.40451549772491102</c:v>
                </c:pt>
                <c:pt idx="22">
                  <c:v>-0.40531525427556225</c:v>
                </c:pt>
                <c:pt idx="23">
                  <c:v>-0.40611844339055736</c:v>
                </c:pt>
                <c:pt idx="24">
                  <c:v>-0.40066672968719352</c:v>
                </c:pt>
                <c:pt idx="25">
                  <c:v>-0.40146488270342839</c:v>
                </c:pt>
                <c:pt idx="26">
                  <c:v>-0.40226639386764518</c:v>
                </c:pt>
                <c:pt idx="27">
                  <c:v>-0.40307130432815086</c:v>
                </c:pt>
                <c:pt idx="28">
                  <c:v>-0.40387965606125675</c:v>
                </c:pt>
                <c:pt idx="29">
                  <c:v>-0.4046914918961475</c:v>
                </c:pt>
                <c:pt idx="30">
                  <c:v>-0.39916272344553416</c:v>
                </c:pt>
                <c:pt idx="31">
                  <c:v>-0.39996947680354111</c:v>
                </c:pt>
                <c:pt idx="32">
                  <c:v>-0.40077963833062835</c:v>
                </c:pt>
                <c:pt idx="33">
                  <c:v>-0.40159324996436041</c:v>
                </c:pt>
                <c:pt idx="34">
                  <c:v>-0.40241035449262164</c:v>
                </c:pt>
                <c:pt idx="35">
                  <c:v>-0.40323099557570963</c:v>
                </c:pt>
              </c:numCache>
            </c:numRef>
          </c:yVal>
          <c:smooth val="0"/>
          <c:extLst>
            <c:ext xmlns:c16="http://schemas.microsoft.com/office/drawing/2014/chart" uri="{C3380CC4-5D6E-409C-BE32-E72D297353CC}">
              <c16:uniqueId val="{00000001-49A8-43DC-867D-14BCBB1D7A3D}"/>
            </c:ext>
          </c:extLst>
        </c:ser>
        <c:ser>
          <c:idx val="1"/>
          <c:order val="1"/>
          <c:tx>
            <c:strRef>
              <c:f>'datapoints-plots'!$C$8</c:f>
              <c:strCache>
                <c:ptCount val="1"/>
                <c:pt idx="0">
                  <c:v>single point w/modifications</c:v>
                </c:pt>
              </c:strCache>
            </c:strRef>
          </c:tx>
          <c:spPr>
            <a:ln w="28575">
              <a:noFill/>
            </a:ln>
          </c:spPr>
          <c:marker>
            <c:spPr>
              <a:noFill/>
            </c:spPr>
          </c:marker>
          <c:xVal>
            <c:numRef>
              <c:f>'datapoints-plots'!$L$8</c:f>
              <c:numCache>
                <c:formatCode>0.000</c:formatCode>
                <c:ptCount val="1"/>
                <c:pt idx="0">
                  <c:v>50.010992935672903</c:v>
                </c:pt>
              </c:numCache>
            </c:numRef>
          </c:xVal>
          <c:yVal>
            <c:numRef>
              <c:f>'datapoints-plots'!$G$8</c:f>
              <c:numCache>
                <c:formatCode>0.0000</c:formatCode>
                <c:ptCount val="1"/>
                <c:pt idx="0">
                  <c:v>-0.39916272344553416</c:v>
                </c:pt>
              </c:numCache>
            </c:numRef>
          </c:yVal>
          <c:smooth val="0"/>
          <c:extLst>
            <c:ext xmlns:c16="http://schemas.microsoft.com/office/drawing/2014/chart" uri="{C3380CC4-5D6E-409C-BE32-E72D297353CC}">
              <c16:uniqueId val="{00000002-49A8-43DC-867D-14BCBB1D7A3D}"/>
            </c:ext>
          </c:extLst>
        </c:ser>
        <c:ser>
          <c:idx val="2"/>
          <c:order val="2"/>
          <c:tx>
            <c:strRef>
              <c:f>'datapoints-plots'!$C$9</c:f>
              <c:strCache>
                <c:ptCount val="1"/>
                <c:pt idx="0">
                  <c:v> w/out added modifications</c:v>
                </c:pt>
              </c:strCache>
            </c:strRef>
          </c:tx>
          <c:spPr>
            <a:ln w="28575">
              <a:noFill/>
            </a:ln>
          </c:spPr>
          <c:marker>
            <c:spPr>
              <a:noFill/>
            </c:spPr>
          </c:marker>
          <c:xVal>
            <c:numRef>
              <c:f>'datapoints-plots'!$L$9</c:f>
              <c:numCache>
                <c:formatCode>0.000</c:formatCode>
                <c:ptCount val="1"/>
                <c:pt idx="0">
                  <c:v>50.010992935672903</c:v>
                </c:pt>
              </c:numCache>
            </c:numRef>
          </c:xVal>
          <c:yVal>
            <c:numRef>
              <c:f>'datapoints-plots'!$G$9</c:f>
              <c:numCache>
                <c:formatCode>0.0000</c:formatCode>
                <c:ptCount val="1"/>
                <c:pt idx="0">
                  <c:v>-0.39916272344553416</c:v>
                </c:pt>
              </c:numCache>
            </c:numRef>
          </c:yVal>
          <c:smooth val="0"/>
          <c:extLst>
            <c:ext xmlns:c16="http://schemas.microsoft.com/office/drawing/2014/chart" uri="{C3380CC4-5D6E-409C-BE32-E72D297353CC}">
              <c16:uniqueId val="{00000003-49A8-43DC-867D-14BCBB1D7A3D}"/>
            </c:ext>
          </c:extLst>
        </c:ser>
        <c:ser>
          <c:idx val="3"/>
          <c:order val="3"/>
          <c:tx>
            <c:strRef>
              <c:f>'datapoints-plots'!$K$48</c:f>
              <c:strCache>
                <c:ptCount val="1"/>
                <c:pt idx="0">
                  <c:v> -10‰ δ13C</c:v>
                </c:pt>
              </c:strCache>
            </c:strRef>
          </c:tx>
          <c:spPr>
            <a:ln w="28575">
              <a:noFill/>
            </a:ln>
          </c:spPr>
          <c:marker>
            <c:symbol val="circle"/>
            <c:size val="9"/>
            <c:spPr>
              <a:noFill/>
              <a:ln w="19050">
                <a:solidFill>
                  <a:schemeClr val="accent2">
                    <a:lumMod val="50000"/>
                  </a:schemeClr>
                </a:solidFill>
              </a:ln>
            </c:spPr>
          </c:marker>
          <c:xVal>
            <c:numRef>
              <c:f>'datapoints-plots'!$L$16:$L$21</c:f>
              <c:numCache>
                <c:formatCode>0.000</c:formatCode>
                <c:ptCount val="6"/>
                <c:pt idx="0">
                  <c:v>50.010059291281109</c:v>
                </c:pt>
                <c:pt idx="1">
                  <c:v>40.009911931106146</c:v>
                </c:pt>
                <c:pt idx="2">
                  <c:v>30.009764823456521</c:v>
                </c:pt>
                <c:pt idx="3">
                  <c:v>20.009617972093885</c:v>
                </c:pt>
                <c:pt idx="4">
                  <c:v>10.009471380872936</c:v>
                </c:pt>
                <c:pt idx="5">
                  <c:v>9.3250537427369551E-3</c:v>
                </c:pt>
              </c:numCache>
            </c:numRef>
          </c:xVal>
          <c:yVal>
            <c:numRef>
              <c:f>'datapoints-plots'!$G$16:$G$21</c:f>
              <c:numCache>
                <c:formatCode>0.0000</c:formatCode>
                <c:ptCount val="6"/>
                <c:pt idx="0">
                  <c:v>-0.40497679959228261</c:v>
                </c:pt>
                <c:pt idx="1">
                  <c:v>-0.40575006376808442</c:v>
                </c:pt>
                <c:pt idx="2">
                  <c:v>-0.40652654119499587</c:v>
                </c:pt>
                <c:pt idx="3">
                  <c:v>-0.40730627072504966</c:v>
                </c:pt>
                <c:pt idx="4">
                  <c:v>-0.40808929198066224</c:v>
                </c:pt>
                <c:pt idx="5">
                  <c:v>-0.40887564537028798</c:v>
                </c:pt>
              </c:numCache>
            </c:numRef>
          </c:yVal>
          <c:smooth val="0"/>
          <c:extLst>
            <c:ext xmlns:c16="http://schemas.microsoft.com/office/drawing/2014/chart" uri="{C3380CC4-5D6E-409C-BE32-E72D297353CC}">
              <c16:uniqueId val="{00000004-49A8-43DC-867D-14BCBB1D7A3D}"/>
            </c:ext>
          </c:extLst>
        </c:ser>
        <c:dLbls>
          <c:showLegendKey val="0"/>
          <c:showVal val="0"/>
          <c:showCatName val="0"/>
          <c:showSerName val="0"/>
          <c:showPercent val="0"/>
          <c:showBubbleSize val="0"/>
        </c:dLbls>
        <c:axId val="387419520"/>
        <c:axId val="387430272"/>
      </c:scatterChart>
      <c:valAx>
        <c:axId val="387419520"/>
        <c:scaling>
          <c:orientation val="minMax"/>
        </c:scaling>
        <c:delete val="0"/>
        <c:axPos val="b"/>
        <c:title>
          <c:tx>
            <c:rich>
              <a:bodyPr/>
              <a:lstStyle/>
              <a:p>
                <a:pPr>
                  <a:defRPr/>
                </a:pPr>
                <a:r>
                  <a:rPr lang="el-GR" sz="1000" b="1" i="0" u="none" strike="noStrike" baseline="0">
                    <a:effectLst/>
                  </a:rPr>
                  <a:t>δ</a:t>
                </a:r>
                <a:r>
                  <a:rPr lang="en-US" sz="1000" b="1" i="0" u="none" strike="noStrike" baseline="30000">
                    <a:effectLst/>
                  </a:rPr>
                  <a:t>18</a:t>
                </a:r>
                <a:r>
                  <a:rPr lang="en-US" sz="1000" b="1" i="0" u="none" strike="noStrike" baseline="0">
                    <a:effectLst/>
                  </a:rPr>
                  <a:t>O</a:t>
                </a:r>
                <a:r>
                  <a:rPr lang="en-US" baseline="0">
                    <a:latin typeface="Calibri"/>
                    <a:cs typeface="Calibri"/>
                  </a:rPr>
                  <a:t> </a:t>
                </a:r>
                <a:endParaRPr lang="en-US" baseline="0"/>
              </a:p>
            </c:rich>
          </c:tx>
          <c:overlay val="0"/>
        </c:title>
        <c:numFmt formatCode="0.0" sourceLinked="0"/>
        <c:majorTickMark val="out"/>
        <c:minorTickMark val="none"/>
        <c:tickLblPos val="nextTo"/>
        <c:crossAx val="387430272"/>
        <c:crossesAt val="-1000"/>
        <c:crossBetween val="midCat"/>
      </c:valAx>
      <c:valAx>
        <c:axId val="387430272"/>
        <c:scaling>
          <c:orientation val="minMax"/>
        </c:scaling>
        <c:delete val="0"/>
        <c:axPos val="l"/>
        <c:title>
          <c:tx>
            <c:rich>
              <a:bodyPr rot="-5400000" vert="horz"/>
              <a:lstStyle/>
              <a:p>
                <a:pPr>
                  <a:defRPr/>
                </a:pPr>
                <a:r>
                  <a:rPr lang="el-GR"/>
                  <a:t>Δ</a:t>
                </a:r>
                <a:r>
                  <a:rPr lang="en-US" baseline="-25000"/>
                  <a:t>47</a:t>
                </a:r>
              </a:p>
            </c:rich>
          </c:tx>
          <c:overlay val="0"/>
        </c:title>
        <c:numFmt formatCode="0.000" sourceLinked="0"/>
        <c:majorTickMark val="out"/>
        <c:minorTickMark val="none"/>
        <c:tickLblPos val="nextTo"/>
        <c:crossAx val="387419520"/>
        <c:crossesAt val="-1000"/>
        <c:crossBetween val="midCat"/>
      </c:valAx>
    </c:plotArea>
    <c:legend>
      <c:legendPos val="r"/>
      <c:layout>
        <c:manualLayout>
          <c:xMode val="edge"/>
          <c:yMode val="edge"/>
          <c:x val="0.71293925511128065"/>
          <c:y val="0.17796563465192566"/>
          <c:w val="0.28706074488871935"/>
          <c:h val="0.38181704287675694"/>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Parameter sets</a:t>
            </a:r>
            <a:r>
              <a:rPr lang="en-US" baseline="0"/>
              <a:t> effects:</a:t>
            </a:r>
          </a:p>
          <a:p>
            <a:pPr>
              <a:defRPr/>
            </a:pPr>
            <a:r>
              <a:rPr lang="el-GR" sz="1400" b="1" i="0" u="none" strike="noStrike" baseline="0">
                <a:effectLst/>
              </a:rPr>
              <a:t>Δ</a:t>
            </a:r>
            <a:r>
              <a:rPr lang="en-US" sz="1400" b="1" i="0" u="none" strike="noStrike" baseline="-25000">
                <a:effectLst/>
              </a:rPr>
              <a:t>47</a:t>
            </a:r>
            <a:r>
              <a:rPr lang="en-US" sz="1400" b="1" i="0" u="none" strike="noStrike" baseline="0">
                <a:effectLst/>
              </a:rPr>
              <a:t> (</a:t>
            </a:r>
            <a:r>
              <a:rPr lang="el-GR" sz="1400" b="1" i="0" u="none" strike="noStrike" baseline="0">
                <a:effectLst/>
              </a:rPr>
              <a:t>δ</a:t>
            </a:r>
            <a:r>
              <a:rPr lang="en-US" sz="1400" b="1" i="0" u="none" strike="noStrike" baseline="30000">
                <a:effectLst/>
              </a:rPr>
              <a:t>47</a:t>
            </a:r>
            <a:r>
              <a:rPr lang="en-US" sz="1400" b="1" i="0" u="none" strike="noStrike" baseline="0">
                <a:effectLst/>
              </a:rPr>
              <a:t> corrected) vs </a:t>
            </a:r>
            <a:r>
              <a:rPr lang="el-GR" sz="1400" b="1" i="0" u="none" strike="noStrike" baseline="0">
                <a:effectLst/>
              </a:rPr>
              <a:t>δ</a:t>
            </a:r>
            <a:r>
              <a:rPr lang="en-US" sz="1400" b="1" i="0" u="none" strike="noStrike" baseline="30000">
                <a:effectLst/>
              </a:rPr>
              <a:t>18</a:t>
            </a:r>
            <a:r>
              <a:rPr lang="en-US" sz="1400" b="1" i="0" u="none" strike="noStrike" baseline="0">
                <a:effectLst/>
              </a:rPr>
              <a:t>O</a:t>
            </a:r>
            <a:endParaRPr lang="en-US" sz="1400"/>
          </a:p>
        </c:rich>
      </c:tx>
      <c:layout>
        <c:manualLayout>
          <c:xMode val="edge"/>
          <c:yMode val="edge"/>
          <c:x val="0.21093826506980742"/>
          <c:y val="2.6058631921824105E-2"/>
        </c:manualLayout>
      </c:layout>
      <c:overlay val="0"/>
    </c:title>
    <c:autoTitleDeleted val="0"/>
    <c:plotArea>
      <c:layout>
        <c:manualLayout>
          <c:layoutTarget val="inner"/>
          <c:xMode val="edge"/>
          <c:yMode val="edge"/>
          <c:x val="0.17866626965746929"/>
          <c:y val="0.26565715116229366"/>
          <c:w val="0.47591017837994865"/>
          <c:h val="0.54213137038651926"/>
        </c:manualLayout>
      </c:layout>
      <c:scatterChart>
        <c:scatterStyle val="lineMarker"/>
        <c:varyColors val="0"/>
        <c:ser>
          <c:idx val="0"/>
          <c:order val="0"/>
          <c:tx>
            <c:strRef>
              <c:f>'datapoints-plots'!$I$6</c:f>
              <c:strCache>
                <c:ptCount val="1"/>
                <c:pt idx="0">
                  <c:v>Δ47, slope corr.</c:v>
                </c:pt>
              </c:strCache>
            </c:strRef>
          </c:tx>
          <c:spPr>
            <a:ln w="28575">
              <a:noFill/>
            </a:ln>
          </c:spPr>
          <c:trendline>
            <c:trendlineType val="linear"/>
            <c:dispRSqr val="1"/>
            <c:dispEq val="0"/>
            <c:trendlineLbl>
              <c:layout>
                <c:manualLayout>
                  <c:x val="0.18418069509457363"/>
                  <c:y val="-3.1973462600562552E-2"/>
                </c:manualLayout>
              </c:layout>
              <c:numFmt formatCode="General" sourceLinked="0"/>
            </c:trendlineLbl>
          </c:trendline>
          <c:xVal>
            <c:numRef>
              <c:f>'datapoints-plots'!$L$10:$L$45</c:f>
              <c:numCache>
                <c:formatCode>0.000</c:formatCode>
                <c:ptCount val="36"/>
                <c:pt idx="0">
                  <c:v>9.1001700663895235E-3</c:v>
                </c:pt>
                <c:pt idx="1">
                  <c:v>10.009244801122419</c:v>
                </c:pt>
                <c:pt idx="2">
                  <c:v>15.009317217041573</c:v>
                </c:pt>
                <c:pt idx="3">
                  <c:v>20.009389699218616</c:v>
                </c:pt>
                <c:pt idx="4">
                  <c:v>40.009680280663318</c:v>
                </c:pt>
                <c:pt idx="5">
                  <c:v>50.009825956316419</c:v>
                </c:pt>
                <c:pt idx="6">
                  <c:v>50.010059291281109</c:v>
                </c:pt>
                <c:pt idx="7">
                  <c:v>40.009911931106146</c:v>
                </c:pt>
                <c:pt idx="8">
                  <c:v>30.009764823456521</c:v>
                </c:pt>
                <c:pt idx="9">
                  <c:v>20.009617972093885</c:v>
                </c:pt>
                <c:pt idx="10">
                  <c:v>10.009471380872936</c:v>
                </c:pt>
                <c:pt idx="11">
                  <c:v>9.3250537427369551E-3</c:v>
                </c:pt>
                <c:pt idx="12">
                  <c:v>50.010292656689657</c:v>
                </c:pt>
                <c:pt idx="13">
                  <c:v>40.010143611738826</c:v>
                </c:pt>
                <c:pt idx="14">
                  <c:v>30.009994816485587</c:v>
                </c:pt>
                <c:pt idx="15">
                  <c:v>20.009846274651856</c:v>
                </c:pt>
                <c:pt idx="16">
                  <c:v>10.009697990051247</c:v>
                </c:pt>
                <c:pt idx="17">
                  <c:v>9.5499665926368493E-3</c:v>
                </c:pt>
                <c:pt idx="18">
                  <c:v>50.010526052551405</c:v>
                </c:pt>
                <c:pt idx="19">
                  <c:v>40.010375322571349</c:v>
                </c:pt>
                <c:pt idx="20">
                  <c:v>30.010224839460477</c:v>
                </c:pt>
                <c:pt idx="21">
                  <c:v>20.010074606900741</c:v>
                </c:pt>
                <c:pt idx="22">
                  <c:v>10.009924628667122</c:v>
                </c:pt>
                <c:pt idx="23">
                  <c:v>9.7749086263032581E-3</c:v>
                </c:pt>
                <c:pt idx="24">
                  <c:v>50.010759478875897</c:v>
                </c:pt>
                <c:pt idx="25">
                  <c:v>40.010607063612809</c:v>
                </c:pt>
                <c:pt idx="26">
                  <c:v>30.010454892389848</c:v>
                </c:pt>
                <c:pt idx="27">
                  <c:v>20.010302968850759</c:v>
                </c:pt>
                <c:pt idx="28">
                  <c:v>10.010151296729441</c:v>
                </c:pt>
                <c:pt idx="29">
                  <c:v>9.9998798521738763E-3</c:v>
                </c:pt>
                <c:pt idx="30">
                  <c:v>50.010992935672903</c:v>
                </c:pt>
                <c:pt idx="31">
                  <c:v>40.010838834872551</c:v>
                </c:pt>
                <c:pt idx="32">
                  <c:v>30.010684975283255</c:v>
                </c:pt>
                <c:pt idx="33">
                  <c:v>20.010531360510342</c:v>
                </c:pt>
                <c:pt idx="34">
                  <c:v>10.01037799424731</c:v>
                </c:pt>
                <c:pt idx="35">
                  <c:v>1.0224880278908444E-2</c:v>
                </c:pt>
              </c:numCache>
            </c:numRef>
          </c:xVal>
          <c:yVal>
            <c:numRef>
              <c:f>'datapoints-plots'!$I$10:$I$45</c:f>
              <c:numCache>
                <c:formatCode>0.000</c:formatCode>
                <c:ptCount val="36"/>
                <c:pt idx="0">
                  <c:v>-0.41022009615012928</c:v>
                </c:pt>
                <c:pt idx="1">
                  <c:v>-0.40912814028149624</c:v>
                </c:pt>
                <c:pt idx="2">
                  <c:v>-0.40858336512103077</c:v>
                </c:pt>
                <c:pt idx="3">
                  <c:v>-0.40803938522250449</c:v>
                </c:pt>
                <c:pt idx="4">
                  <c:v>-0.40587132131051368</c:v>
                </c:pt>
                <c:pt idx="5">
                  <c:v>-0.40479193623513154</c:v>
                </c:pt>
                <c:pt idx="6">
                  <c:v>-0.40373229654060333</c:v>
                </c:pt>
                <c:pt idx="7">
                  <c:v>-0.40481670711584944</c:v>
                </c:pt>
                <c:pt idx="8">
                  <c:v>-0.40590424969458039</c:v>
                </c:pt>
                <c:pt idx="9">
                  <c:v>-0.40699496275742375</c:v>
                </c:pt>
                <c:pt idx="10">
                  <c:v>-0.4080888855500443</c:v>
                </c:pt>
                <c:pt idx="11">
                  <c:v>-0.40918605809866754</c:v>
                </c:pt>
                <c:pt idx="12">
                  <c:v>-0.40264125750055596</c:v>
                </c:pt>
                <c:pt idx="13">
                  <c:v>-0.40373083579646213</c:v>
                </c:pt>
                <c:pt idx="14">
                  <c:v>-0.40482359356006509</c:v>
                </c:pt>
                <c:pt idx="15">
                  <c:v>-0.40591957002583434</c:v>
                </c:pt>
                <c:pt idx="16">
                  <c:v>-0.40701880521115136</c:v>
                </c:pt>
                <c:pt idx="17">
                  <c:v>-0.40812133993616273</c:v>
                </c:pt>
                <c:pt idx="18">
                  <c:v>-0.40151788109632652</c:v>
                </c:pt>
                <c:pt idx="19">
                  <c:v>-0.40261277341187107</c:v>
                </c:pt>
                <c:pt idx="20">
                  <c:v>-0.40371089348699557</c:v>
                </c:pt>
                <c:pt idx="21">
                  <c:v>-0.40481228131844921</c:v>
                </c:pt>
                <c:pt idx="22">
                  <c:v>-0.40591697771131729</c:v>
                </c:pt>
                <c:pt idx="23">
                  <c:v>-0.40702502429065862</c:v>
                </c:pt>
                <c:pt idx="24">
                  <c:v>-0.40036119160463496</c:v>
                </c:pt>
                <c:pt idx="25">
                  <c:v>-0.40146154847751675</c:v>
                </c:pt>
                <c:pt idx="26">
                  <c:v>-0.40256518225096011</c:v>
                </c:pt>
                <c:pt idx="27">
                  <c:v>-0.40367213370186855</c:v>
                </c:pt>
                <c:pt idx="28">
                  <c:v>-0.40478244442980355</c:v>
                </c:pt>
                <c:pt idx="29">
                  <c:v>-0.4058961568817227</c:v>
                </c:pt>
                <c:pt idx="30">
                  <c:v>-0.39917017368544699</c:v>
                </c:pt>
                <c:pt idx="31">
                  <c:v>-0.40027615005251249</c:v>
                </c:pt>
                <c:pt idx="32">
                  <c:v>-0.40138545334130599</c:v>
                </c:pt>
                <c:pt idx="33">
                  <c:v>-0.40249812511798916</c:v>
                </c:pt>
                <c:pt idx="34">
                  <c:v>-0.403614207793697</c:v>
                </c:pt>
                <c:pt idx="35">
                  <c:v>-0.40473374464650064</c:v>
                </c:pt>
              </c:numCache>
            </c:numRef>
          </c:yVal>
          <c:smooth val="0"/>
          <c:extLst>
            <c:ext xmlns:c16="http://schemas.microsoft.com/office/drawing/2014/chart" uri="{C3380CC4-5D6E-409C-BE32-E72D297353CC}">
              <c16:uniqueId val="{00000001-2729-4433-9250-28DC734A285F}"/>
            </c:ext>
          </c:extLst>
        </c:ser>
        <c:ser>
          <c:idx val="1"/>
          <c:order val="1"/>
          <c:tx>
            <c:strRef>
              <c:f>'datapoints-plots'!$C$8</c:f>
              <c:strCache>
                <c:ptCount val="1"/>
                <c:pt idx="0">
                  <c:v>single point w/modifications</c:v>
                </c:pt>
              </c:strCache>
            </c:strRef>
          </c:tx>
          <c:spPr>
            <a:ln w="28575">
              <a:noFill/>
            </a:ln>
          </c:spPr>
          <c:marker>
            <c:spPr>
              <a:noFill/>
            </c:spPr>
          </c:marker>
          <c:xVal>
            <c:numRef>
              <c:f>'datapoints-plots'!$L$8</c:f>
              <c:numCache>
                <c:formatCode>0.000</c:formatCode>
                <c:ptCount val="1"/>
                <c:pt idx="0">
                  <c:v>50.010992935672903</c:v>
                </c:pt>
              </c:numCache>
            </c:numRef>
          </c:xVal>
          <c:yVal>
            <c:numRef>
              <c:f>'datapoints-plots'!$I$8</c:f>
              <c:numCache>
                <c:formatCode>0.000</c:formatCode>
                <c:ptCount val="1"/>
                <c:pt idx="0">
                  <c:v>-0.39917017368544699</c:v>
                </c:pt>
              </c:numCache>
            </c:numRef>
          </c:yVal>
          <c:smooth val="0"/>
          <c:extLst>
            <c:ext xmlns:c16="http://schemas.microsoft.com/office/drawing/2014/chart" uri="{C3380CC4-5D6E-409C-BE32-E72D297353CC}">
              <c16:uniqueId val="{00000002-2729-4433-9250-28DC734A285F}"/>
            </c:ext>
          </c:extLst>
        </c:ser>
        <c:ser>
          <c:idx val="2"/>
          <c:order val="2"/>
          <c:tx>
            <c:strRef>
              <c:f>'datapoints-plots'!$C$9</c:f>
              <c:strCache>
                <c:ptCount val="1"/>
                <c:pt idx="0">
                  <c:v> w/out added modifications</c:v>
                </c:pt>
              </c:strCache>
            </c:strRef>
          </c:tx>
          <c:spPr>
            <a:ln w="28575">
              <a:noFill/>
            </a:ln>
          </c:spPr>
          <c:marker>
            <c:spPr>
              <a:noFill/>
            </c:spPr>
          </c:marker>
          <c:xVal>
            <c:numRef>
              <c:f>'datapoints-plots'!$L$9</c:f>
              <c:numCache>
                <c:formatCode>0.000</c:formatCode>
                <c:ptCount val="1"/>
                <c:pt idx="0">
                  <c:v>50.010992935672903</c:v>
                </c:pt>
              </c:numCache>
            </c:numRef>
          </c:xVal>
          <c:yVal>
            <c:numRef>
              <c:f>'datapoints-plots'!$I$9</c:f>
              <c:numCache>
                <c:formatCode>0.000</c:formatCode>
                <c:ptCount val="1"/>
                <c:pt idx="0">
                  <c:v>-0.39917017368544699</c:v>
                </c:pt>
              </c:numCache>
            </c:numRef>
          </c:yVal>
          <c:smooth val="0"/>
          <c:extLst>
            <c:ext xmlns:c16="http://schemas.microsoft.com/office/drawing/2014/chart" uri="{C3380CC4-5D6E-409C-BE32-E72D297353CC}">
              <c16:uniqueId val="{00000003-2729-4433-9250-28DC734A285F}"/>
            </c:ext>
          </c:extLst>
        </c:ser>
        <c:ser>
          <c:idx val="3"/>
          <c:order val="3"/>
          <c:tx>
            <c:strRef>
              <c:f>'datapoints-plots'!$K$48</c:f>
              <c:strCache>
                <c:ptCount val="1"/>
                <c:pt idx="0">
                  <c:v> -10‰ δ13C</c:v>
                </c:pt>
              </c:strCache>
            </c:strRef>
          </c:tx>
          <c:spPr>
            <a:ln w="28575">
              <a:noFill/>
            </a:ln>
          </c:spPr>
          <c:marker>
            <c:symbol val="circle"/>
            <c:size val="9"/>
            <c:spPr>
              <a:noFill/>
              <a:ln w="19050">
                <a:solidFill>
                  <a:schemeClr val="accent2">
                    <a:lumMod val="50000"/>
                  </a:schemeClr>
                </a:solidFill>
              </a:ln>
            </c:spPr>
          </c:marker>
          <c:xVal>
            <c:numRef>
              <c:f>'datapoints-plots'!$L$16:$L$21</c:f>
              <c:numCache>
                <c:formatCode>0.000</c:formatCode>
                <c:ptCount val="6"/>
                <c:pt idx="0">
                  <c:v>50.010059291281109</c:v>
                </c:pt>
                <c:pt idx="1">
                  <c:v>40.009911931106146</c:v>
                </c:pt>
                <c:pt idx="2">
                  <c:v>30.009764823456521</c:v>
                </c:pt>
                <c:pt idx="3">
                  <c:v>20.009617972093885</c:v>
                </c:pt>
                <c:pt idx="4">
                  <c:v>10.009471380872936</c:v>
                </c:pt>
                <c:pt idx="5">
                  <c:v>9.3250537427369551E-3</c:v>
                </c:pt>
              </c:numCache>
            </c:numRef>
          </c:xVal>
          <c:yVal>
            <c:numRef>
              <c:f>'datapoints-plots'!$I$16:$I$21</c:f>
              <c:numCache>
                <c:formatCode>0.000</c:formatCode>
                <c:ptCount val="6"/>
                <c:pt idx="0">
                  <c:v>-0.40373229654060333</c:v>
                </c:pt>
                <c:pt idx="1">
                  <c:v>-0.40481670711584944</c:v>
                </c:pt>
                <c:pt idx="2">
                  <c:v>-0.40590424969458039</c:v>
                </c:pt>
                <c:pt idx="3">
                  <c:v>-0.40699496275742375</c:v>
                </c:pt>
                <c:pt idx="4">
                  <c:v>-0.4080888855500443</c:v>
                </c:pt>
                <c:pt idx="5">
                  <c:v>-0.40918605809866754</c:v>
                </c:pt>
              </c:numCache>
            </c:numRef>
          </c:yVal>
          <c:smooth val="0"/>
          <c:extLst>
            <c:ext xmlns:c16="http://schemas.microsoft.com/office/drawing/2014/chart" uri="{C3380CC4-5D6E-409C-BE32-E72D297353CC}">
              <c16:uniqueId val="{00000004-2729-4433-9250-28DC734A285F}"/>
            </c:ext>
          </c:extLst>
        </c:ser>
        <c:dLbls>
          <c:showLegendKey val="0"/>
          <c:showVal val="0"/>
          <c:showCatName val="0"/>
          <c:showSerName val="0"/>
          <c:showPercent val="0"/>
          <c:showBubbleSize val="0"/>
        </c:dLbls>
        <c:axId val="387558016"/>
        <c:axId val="387568768"/>
      </c:scatterChart>
      <c:valAx>
        <c:axId val="387558016"/>
        <c:scaling>
          <c:orientation val="minMax"/>
        </c:scaling>
        <c:delete val="0"/>
        <c:axPos val="b"/>
        <c:title>
          <c:tx>
            <c:rich>
              <a:bodyPr/>
              <a:lstStyle/>
              <a:p>
                <a:pPr>
                  <a:defRPr/>
                </a:pPr>
                <a:r>
                  <a:rPr lang="el-GR" sz="1000" b="1" i="0" u="none" strike="noStrike" baseline="0">
                    <a:effectLst/>
                  </a:rPr>
                  <a:t>δ</a:t>
                </a:r>
                <a:r>
                  <a:rPr lang="en-US" sz="1000" b="1" i="0" u="none" strike="noStrike" baseline="30000">
                    <a:effectLst/>
                  </a:rPr>
                  <a:t>18</a:t>
                </a:r>
                <a:r>
                  <a:rPr lang="en-US" sz="1000" b="1" i="0" u="none" strike="noStrike" baseline="0">
                    <a:effectLst/>
                  </a:rPr>
                  <a:t>O</a:t>
                </a:r>
                <a:r>
                  <a:rPr lang="en-US" baseline="0">
                    <a:latin typeface="Calibri"/>
                    <a:cs typeface="Calibri"/>
                  </a:rPr>
                  <a:t> </a:t>
                </a:r>
                <a:endParaRPr lang="en-US" baseline="0"/>
              </a:p>
            </c:rich>
          </c:tx>
          <c:overlay val="0"/>
        </c:title>
        <c:numFmt formatCode="0.0" sourceLinked="0"/>
        <c:majorTickMark val="out"/>
        <c:minorTickMark val="none"/>
        <c:tickLblPos val="nextTo"/>
        <c:crossAx val="387568768"/>
        <c:crossesAt val="-1000"/>
        <c:crossBetween val="midCat"/>
      </c:valAx>
      <c:valAx>
        <c:axId val="387568768"/>
        <c:scaling>
          <c:orientation val="minMax"/>
        </c:scaling>
        <c:delete val="0"/>
        <c:axPos val="l"/>
        <c:title>
          <c:tx>
            <c:rich>
              <a:bodyPr rot="-5400000" vert="horz"/>
              <a:lstStyle/>
              <a:p>
                <a:pPr>
                  <a:defRPr/>
                </a:pPr>
                <a:r>
                  <a:rPr lang="el-GR"/>
                  <a:t>Δ</a:t>
                </a:r>
                <a:r>
                  <a:rPr lang="en-US" baseline="-25000"/>
                  <a:t>47</a:t>
                </a:r>
                <a:r>
                  <a:rPr lang="en-US" baseline="0"/>
                  <a:t>, </a:t>
                </a:r>
                <a:r>
                  <a:rPr lang="el-GR" baseline="0"/>
                  <a:t>δ</a:t>
                </a:r>
                <a:r>
                  <a:rPr lang="en-US" baseline="30000"/>
                  <a:t>47</a:t>
                </a:r>
                <a:r>
                  <a:rPr lang="en-US" baseline="0"/>
                  <a:t> corrected</a:t>
                </a:r>
                <a:endParaRPr lang="en-US" baseline="-25000"/>
              </a:p>
            </c:rich>
          </c:tx>
          <c:overlay val="0"/>
        </c:title>
        <c:numFmt formatCode="0.000" sourceLinked="1"/>
        <c:majorTickMark val="out"/>
        <c:minorTickMark val="none"/>
        <c:tickLblPos val="nextTo"/>
        <c:crossAx val="387558016"/>
        <c:crossesAt val="-1000"/>
        <c:crossBetween val="midCat"/>
      </c:valAx>
    </c:plotArea>
    <c:legend>
      <c:legendPos val="r"/>
      <c:layout>
        <c:manualLayout>
          <c:xMode val="edge"/>
          <c:yMode val="edge"/>
          <c:x val="0.72705931162165927"/>
          <c:y val="0.23901476484820505"/>
          <c:w val="0.27294068837834068"/>
          <c:h val="0.3988235998187523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15</xdr:col>
      <xdr:colOff>342900</xdr:colOff>
      <xdr:row>20</xdr:row>
      <xdr:rowOff>0</xdr:rowOff>
    </xdr:from>
    <xdr:to>
      <xdr:col>23</xdr:col>
      <xdr:colOff>9525</xdr:colOff>
      <xdr:row>35</xdr:row>
      <xdr:rowOff>66675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15</xdr:col>
      <xdr:colOff>392766</xdr:colOff>
      <xdr:row>5</xdr:row>
      <xdr:rowOff>114300</xdr:rowOff>
    </xdr:from>
    <xdr:to>
      <xdr:col>23</xdr:col>
      <xdr:colOff>78441</xdr:colOff>
      <xdr:row>19</xdr:row>
      <xdr:rowOff>117100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15</xdr:col>
      <xdr:colOff>285749</xdr:colOff>
      <xdr:row>35</xdr:row>
      <xdr:rowOff>85725</xdr:rowOff>
    </xdr:from>
    <xdr:to>
      <xdr:col>23</xdr:col>
      <xdr:colOff>0</xdr:colOff>
      <xdr:row>52</xdr:row>
      <xdr:rowOff>114300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23</xdr:col>
      <xdr:colOff>57150</xdr:colOff>
      <xdr:row>20</xdr:row>
      <xdr:rowOff>28575</xdr:rowOff>
    </xdr:from>
    <xdr:to>
      <xdr:col>30</xdr:col>
      <xdr:colOff>323850</xdr:colOff>
      <xdr:row>35</xdr:row>
      <xdr:rowOff>95250</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30</xdr:col>
      <xdr:colOff>609599</xdr:colOff>
      <xdr:row>20</xdr:row>
      <xdr:rowOff>0</xdr:rowOff>
    </xdr:from>
    <xdr:to>
      <xdr:col>38</xdr:col>
      <xdr:colOff>390524</xdr:colOff>
      <xdr:row>35</xdr:row>
      <xdr:rowOff>66675</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23</xdr:col>
      <xdr:colOff>582705</xdr:colOff>
      <xdr:row>5</xdr:row>
      <xdr:rowOff>11206</xdr:rowOff>
    </xdr:from>
    <xdr:to>
      <xdr:col>31</xdr:col>
      <xdr:colOff>244288</xdr:colOff>
      <xdr:row>20</xdr:row>
      <xdr:rowOff>30256</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31</xdr:col>
      <xdr:colOff>581025</xdr:colOff>
      <xdr:row>4</xdr:row>
      <xdr:rowOff>93569</xdr:rowOff>
    </xdr:from>
    <xdr:to>
      <xdr:col>39</xdr:col>
      <xdr:colOff>238125</xdr:colOff>
      <xdr:row>19</xdr:row>
      <xdr:rowOff>112619</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39</xdr:col>
      <xdr:colOff>415177</xdr:colOff>
      <xdr:row>4</xdr:row>
      <xdr:rowOff>133910</xdr:rowOff>
    </xdr:from>
    <xdr:to>
      <xdr:col>47</xdr:col>
      <xdr:colOff>72277</xdr:colOff>
      <xdr:row>19</xdr:row>
      <xdr:rowOff>152960</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39</xdr:col>
      <xdr:colOff>0</xdr:colOff>
      <xdr:row>20</xdr:row>
      <xdr:rowOff>0</xdr:rowOff>
    </xdr:from>
    <xdr:to>
      <xdr:col>46</xdr:col>
      <xdr:colOff>266700</xdr:colOff>
      <xdr:row>35</xdr:row>
      <xdr:rowOff>66675</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162"/>
  <sheetViews>
    <sheetView topLeftCell="C141" zoomScaleNormal="100" workbookViewId="0">
      <selection activeCell="D162" sqref="D162"/>
    </sheetView>
  </sheetViews>
  <sheetFormatPr defaultRowHeight="15" x14ac:dyDescent="0.25"/>
  <cols>
    <col min="2" max="2" width="22.42578125" customWidth="1"/>
    <col min="3" max="3" width="10.7109375" bestFit="1" customWidth="1"/>
    <col min="6" max="6" width="12.5703125" customWidth="1"/>
    <col min="13" max="13" width="22.42578125" customWidth="1"/>
  </cols>
  <sheetData>
    <row r="2" spans="2:20" ht="18.75" x14ac:dyDescent="0.35">
      <c r="B2" s="16" t="s">
        <v>497</v>
      </c>
    </row>
    <row r="3" spans="2:20" x14ac:dyDescent="0.25">
      <c r="C3" t="s">
        <v>173</v>
      </c>
    </row>
    <row r="4" spans="2:20" x14ac:dyDescent="0.25">
      <c r="C4" t="s">
        <v>174</v>
      </c>
    </row>
    <row r="5" spans="2:20" s="36" customFormat="1" ht="17.25" x14ac:dyDescent="0.25">
      <c r="C5" s="36" t="s">
        <v>429</v>
      </c>
    </row>
    <row r="6" spans="2:20" x14ac:dyDescent="0.25">
      <c r="C6" t="s">
        <v>263</v>
      </c>
    </row>
    <row r="7" spans="2:20" x14ac:dyDescent="0.25">
      <c r="C7" t="s">
        <v>175</v>
      </c>
    </row>
    <row r="8" spans="2:20" x14ac:dyDescent="0.25">
      <c r="D8" t="s">
        <v>176</v>
      </c>
    </row>
    <row r="9" spans="2:20" s="36" customFormat="1" ht="15.75" thickBot="1" x14ac:dyDescent="0.3">
      <c r="C9" s="16" t="s">
        <v>498</v>
      </c>
    </row>
    <row r="10" spans="2:20" ht="15.75" x14ac:dyDescent="0.25">
      <c r="C10" t="s">
        <v>203</v>
      </c>
      <c r="M10" s="95" t="s">
        <v>179</v>
      </c>
      <c r="N10" s="87"/>
      <c r="O10" s="87"/>
      <c r="P10" s="87"/>
      <c r="Q10" s="87"/>
      <c r="R10" s="87"/>
      <c r="S10" s="87"/>
      <c r="T10" s="26"/>
    </row>
    <row r="11" spans="2:20" ht="18" x14ac:dyDescent="0.25">
      <c r="B11" s="121" t="s">
        <v>172</v>
      </c>
      <c r="C11" s="7" t="s">
        <v>398</v>
      </c>
      <c r="D11" s="7"/>
      <c r="E11" s="7"/>
      <c r="F11" s="7"/>
      <c r="G11" s="7"/>
      <c r="H11" s="7"/>
      <c r="I11" s="7"/>
      <c r="J11" s="7"/>
      <c r="M11" s="96" t="s">
        <v>273</v>
      </c>
      <c r="N11" s="3"/>
      <c r="O11" s="3"/>
      <c r="P11" s="3"/>
      <c r="Q11" s="3"/>
      <c r="R11" s="3"/>
      <c r="S11" s="3"/>
      <c r="T11" s="28"/>
    </row>
    <row r="12" spans="2:20" ht="18.75" x14ac:dyDescent="0.35">
      <c r="B12" t="s">
        <v>267</v>
      </c>
      <c r="C12" t="s">
        <v>399</v>
      </c>
      <c r="M12" s="96" t="s">
        <v>274</v>
      </c>
      <c r="N12" s="3"/>
      <c r="O12" s="3"/>
      <c r="P12" s="3"/>
      <c r="Q12" s="3"/>
      <c r="R12" s="3"/>
      <c r="S12" s="3"/>
      <c r="T12" s="28"/>
    </row>
    <row r="13" spans="2:20" ht="18" x14ac:dyDescent="0.25">
      <c r="D13" t="s">
        <v>264</v>
      </c>
      <c r="M13" s="96" t="s">
        <v>275</v>
      </c>
      <c r="N13" s="3"/>
      <c r="O13" s="3"/>
      <c r="P13" s="3"/>
      <c r="Q13" s="3"/>
      <c r="R13" s="3"/>
      <c r="S13" s="3"/>
      <c r="T13" s="28"/>
    </row>
    <row r="14" spans="2:20" ht="18" x14ac:dyDescent="0.25">
      <c r="B14" s="36"/>
      <c r="C14" s="36"/>
      <c r="D14" s="36" t="s">
        <v>265</v>
      </c>
      <c r="E14" s="36"/>
      <c r="F14" s="36"/>
      <c r="G14" s="36"/>
      <c r="H14" s="36"/>
      <c r="I14" s="36"/>
      <c r="J14" s="36"/>
      <c r="K14" s="36"/>
      <c r="M14" s="96" t="s">
        <v>276</v>
      </c>
      <c r="N14" s="3"/>
      <c r="O14" s="3"/>
      <c r="P14" s="3"/>
      <c r="Q14" s="3"/>
      <c r="R14" s="3"/>
      <c r="S14" s="3"/>
      <c r="T14" s="28"/>
    </row>
    <row r="15" spans="2:20" ht="18" x14ac:dyDescent="0.25">
      <c r="B15" s="36"/>
      <c r="C15" s="36" t="s">
        <v>400</v>
      </c>
      <c r="D15" s="36"/>
      <c r="E15" s="36"/>
      <c r="F15" s="36"/>
      <c r="G15" s="36"/>
      <c r="H15" s="36"/>
      <c r="I15" s="36"/>
      <c r="J15" s="36"/>
      <c r="K15" s="36"/>
      <c r="M15" s="96" t="s">
        <v>277</v>
      </c>
      <c r="N15" s="3"/>
      <c r="O15" s="3"/>
      <c r="P15" s="3"/>
      <c r="Q15" s="3"/>
      <c r="R15" s="3"/>
      <c r="S15" s="3"/>
      <c r="T15" s="28"/>
    </row>
    <row r="16" spans="2:20" ht="18" x14ac:dyDescent="0.25">
      <c r="B16" s="36"/>
      <c r="C16" s="36"/>
      <c r="D16" s="36" t="s">
        <v>401</v>
      </c>
      <c r="E16" s="36"/>
      <c r="F16" s="36"/>
      <c r="G16" s="36"/>
      <c r="H16" s="36"/>
      <c r="I16" s="36"/>
      <c r="J16" s="36"/>
      <c r="K16" s="36"/>
      <c r="M16" s="96" t="s">
        <v>278</v>
      </c>
      <c r="N16" s="3"/>
      <c r="O16" s="3"/>
      <c r="P16" s="3"/>
      <c r="Q16" s="3"/>
      <c r="R16" s="3"/>
      <c r="S16" s="3"/>
      <c r="T16" s="28"/>
    </row>
    <row r="17" spans="1:20" ht="18" x14ac:dyDescent="0.25">
      <c r="B17" s="36"/>
      <c r="C17" s="36"/>
      <c r="D17" s="36" t="s">
        <v>415</v>
      </c>
      <c r="E17" s="36"/>
      <c r="F17" s="36"/>
      <c r="G17" s="36"/>
      <c r="H17" s="36"/>
      <c r="I17" s="36"/>
      <c r="J17" s="36"/>
      <c r="K17" s="36"/>
      <c r="M17" s="96" t="s">
        <v>279</v>
      </c>
      <c r="N17" s="3"/>
      <c r="O17" s="3"/>
      <c r="P17" s="3"/>
      <c r="Q17" s="3"/>
      <c r="R17" s="3"/>
      <c r="S17" s="3"/>
      <c r="T17" s="28"/>
    </row>
    <row r="18" spans="1:20" ht="18" x14ac:dyDescent="0.25">
      <c r="B18" s="36"/>
      <c r="C18" s="36"/>
      <c r="D18" s="36"/>
      <c r="E18" s="36"/>
      <c r="F18" s="36"/>
      <c r="G18" s="36"/>
      <c r="H18" s="36"/>
      <c r="I18" s="36"/>
      <c r="J18" s="36"/>
      <c r="K18" s="36"/>
      <c r="M18" s="97" t="s">
        <v>280</v>
      </c>
      <c r="N18" s="3"/>
      <c r="O18" s="3"/>
      <c r="P18" s="3"/>
      <c r="Q18" s="3"/>
      <c r="R18" s="3"/>
      <c r="S18" s="3"/>
      <c r="T18" s="28"/>
    </row>
    <row r="19" spans="1:20" ht="17.25" x14ac:dyDescent="0.25">
      <c r="B19" t="s">
        <v>266</v>
      </c>
      <c r="C19" t="s">
        <v>495</v>
      </c>
      <c r="M19" s="96" t="s">
        <v>116</v>
      </c>
      <c r="N19" s="3"/>
      <c r="O19" s="3"/>
      <c r="P19" s="3"/>
      <c r="Q19" s="3"/>
      <c r="R19" s="3"/>
      <c r="S19" s="3"/>
      <c r="T19" s="28"/>
    </row>
    <row r="20" spans="1:20" ht="18" x14ac:dyDescent="0.25">
      <c r="D20" t="s">
        <v>416</v>
      </c>
      <c r="M20" s="38"/>
      <c r="N20" s="98" t="s">
        <v>281</v>
      </c>
      <c r="O20" s="3"/>
      <c r="P20" s="3"/>
      <c r="Q20" s="3"/>
      <c r="R20" s="3"/>
      <c r="S20" s="3"/>
      <c r="T20" s="28"/>
    </row>
    <row r="21" spans="1:20" ht="15.75" x14ac:dyDescent="0.25">
      <c r="D21" t="s">
        <v>417</v>
      </c>
      <c r="M21" s="96" t="s">
        <v>117</v>
      </c>
      <c r="N21" s="99" t="s">
        <v>211</v>
      </c>
      <c r="O21" s="3"/>
      <c r="P21" s="3"/>
      <c r="Q21" s="3"/>
      <c r="R21" s="3"/>
      <c r="S21" s="3"/>
      <c r="T21" s="28"/>
    </row>
    <row r="22" spans="1:20" ht="17.25" x14ac:dyDescent="0.25">
      <c r="D22" t="s">
        <v>209</v>
      </c>
      <c r="M22" s="96" t="s">
        <v>118</v>
      </c>
      <c r="N22" s="99" t="s">
        <v>119</v>
      </c>
      <c r="O22" s="3"/>
      <c r="P22" s="3"/>
      <c r="Q22" s="3"/>
      <c r="R22" s="3"/>
      <c r="S22" s="3"/>
      <c r="T22" s="28"/>
    </row>
    <row r="23" spans="1:20" ht="17.25" x14ac:dyDescent="0.25">
      <c r="C23" t="s">
        <v>418</v>
      </c>
      <c r="M23" s="100"/>
      <c r="N23" s="99" t="s">
        <v>120</v>
      </c>
      <c r="O23" s="3"/>
      <c r="P23" s="3"/>
      <c r="Q23" s="3"/>
      <c r="R23" s="3"/>
      <c r="S23" s="3"/>
      <c r="T23" s="28"/>
    </row>
    <row r="24" spans="1:20" ht="17.25" x14ac:dyDescent="0.25">
      <c r="C24" t="s">
        <v>419</v>
      </c>
      <c r="M24" s="100"/>
      <c r="N24" s="99" t="s">
        <v>121</v>
      </c>
      <c r="O24" s="3"/>
      <c r="P24" s="3"/>
      <c r="Q24" s="3"/>
      <c r="R24" s="3"/>
      <c r="S24" s="3"/>
      <c r="T24" s="28"/>
    </row>
    <row r="25" spans="1:20" s="36" customFormat="1" ht="19.5" thickBot="1" x14ac:dyDescent="0.4">
      <c r="C25" s="36" t="s">
        <v>420</v>
      </c>
      <c r="I25"/>
      <c r="J25"/>
      <c r="K25"/>
      <c r="M25" s="101"/>
      <c r="N25" s="102" t="s">
        <v>122</v>
      </c>
      <c r="O25" s="103"/>
      <c r="P25" s="9"/>
      <c r="Q25" s="9"/>
      <c r="R25" s="9"/>
      <c r="S25" s="9"/>
      <c r="T25" s="104"/>
    </row>
    <row r="26" spans="1:20" x14ac:dyDescent="0.25">
      <c r="D26" t="s">
        <v>421</v>
      </c>
      <c r="O26" s="36"/>
      <c r="P26" s="36"/>
      <c r="Q26" s="36"/>
      <c r="R26" s="36"/>
      <c r="S26" s="36"/>
      <c r="T26" s="36"/>
    </row>
    <row r="27" spans="1:20" x14ac:dyDescent="0.25">
      <c r="B27" s="36"/>
      <c r="C27" s="36"/>
      <c r="D27" s="36"/>
      <c r="E27" s="36"/>
      <c r="F27" s="36"/>
      <c r="G27" s="36"/>
      <c r="H27" s="36"/>
      <c r="I27" s="36"/>
      <c r="J27" s="36"/>
      <c r="K27" s="36"/>
      <c r="L27" s="36"/>
      <c r="M27" s="36"/>
    </row>
    <row r="28" spans="1:20" x14ac:dyDescent="0.25">
      <c r="B28" t="s">
        <v>268</v>
      </c>
      <c r="C28" t="s">
        <v>424</v>
      </c>
      <c r="N28" s="36"/>
    </row>
    <row r="29" spans="1:20" s="36" customFormat="1" x14ac:dyDescent="0.25">
      <c r="A29"/>
      <c r="B29"/>
      <c r="C29" t="s">
        <v>422</v>
      </c>
      <c r="D29"/>
      <c r="E29"/>
      <c r="F29"/>
      <c r="G29"/>
      <c r="H29"/>
      <c r="I29"/>
      <c r="J29"/>
      <c r="K29"/>
      <c r="L29"/>
    </row>
    <row r="30" spans="1:20" s="36" customFormat="1" x14ac:dyDescent="0.25">
      <c r="B30"/>
      <c r="C30" t="s">
        <v>423</v>
      </c>
      <c r="D30"/>
      <c r="E30"/>
      <c r="F30"/>
      <c r="G30"/>
      <c r="H30"/>
      <c r="I30"/>
    </row>
    <row r="31" spans="1:20" s="36" customFormat="1" x14ac:dyDescent="0.25">
      <c r="B31"/>
      <c r="C31"/>
      <c r="D31" t="s">
        <v>177</v>
      </c>
      <c r="E31"/>
      <c r="F31"/>
      <c r="G31"/>
      <c r="H31"/>
      <c r="I31"/>
      <c r="J31"/>
      <c r="K31"/>
      <c r="L31"/>
    </row>
    <row r="32" spans="1:20" s="36" customFormat="1" ht="18" x14ac:dyDescent="0.35">
      <c r="B32"/>
      <c r="C32" s="36" t="s">
        <v>425</v>
      </c>
      <c r="D32"/>
      <c r="E32"/>
      <c r="F32"/>
      <c r="G32"/>
      <c r="H32"/>
      <c r="I32"/>
      <c r="J32"/>
      <c r="K32"/>
    </row>
    <row r="33" spans="2:13" s="36" customFormat="1" ht="18" x14ac:dyDescent="0.35">
      <c r="B33"/>
      <c r="C33" t="s">
        <v>426</v>
      </c>
      <c r="D33"/>
      <c r="E33"/>
      <c r="F33"/>
      <c r="G33"/>
      <c r="H33"/>
      <c r="I33"/>
      <c r="J33"/>
    </row>
    <row r="34" spans="2:13" s="36" customFormat="1" ht="18" x14ac:dyDescent="0.35">
      <c r="B34"/>
      <c r="D34" t="s">
        <v>427</v>
      </c>
      <c r="E34"/>
      <c r="F34"/>
      <c r="G34"/>
      <c r="H34"/>
      <c r="K34"/>
    </row>
    <row r="35" spans="2:13" s="36" customFormat="1" ht="18.75" x14ac:dyDescent="0.35">
      <c r="C35"/>
      <c r="E35" t="s">
        <v>282</v>
      </c>
      <c r="F35"/>
      <c r="G35"/>
      <c r="H35"/>
      <c r="I35"/>
      <c r="J35"/>
      <c r="K35"/>
    </row>
    <row r="36" spans="2:13" s="36" customFormat="1" ht="18.75" x14ac:dyDescent="0.35">
      <c r="C36"/>
      <c r="E36" t="s">
        <v>352</v>
      </c>
      <c r="F36"/>
      <c r="G36"/>
      <c r="H36"/>
      <c r="I36"/>
      <c r="J36"/>
      <c r="K36"/>
    </row>
    <row r="37" spans="2:13" s="36" customFormat="1" ht="18.75" x14ac:dyDescent="0.35">
      <c r="F37" s="36" t="s">
        <v>353</v>
      </c>
    </row>
    <row r="38" spans="2:13" s="36" customFormat="1" x14ac:dyDescent="0.25">
      <c r="C38" s="36" t="s">
        <v>348</v>
      </c>
    </row>
    <row r="39" spans="2:13" s="36" customFormat="1" ht="17.25" x14ac:dyDescent="0.25">
      <c r="D39" s="36" t="s">
        <v>349</v>
      </c>
    </row>
    <row r="40" spans="2:13" s="36" customFormat="1" x14ac:dyDescent="0.25">
      <c r="E40" s="36" t="s">
        <v>350</v>
      </c>
    </row>
    <row r="41" spans="2:13" s="36" customFormat="1" x14ac:dyDescent="0.25">
      <c r="E41" s="36" t="s">
        <v>351</v>
      </c>
    </row>
    <row r="42" spans="2:13" s="36" customFormat="1" x14ac:dyDescent="0.25">
      <c r="C42" s="36" t="s">
        <v>355</v>
      </c>
    </row>
    <row r="43" spans="2:13" x14ac:dyDescent="0.25">
      <c r="B43" s="36"/>
      <c r="C43" s="36"/>
      <c r="D43" s="36" t="s">
        <v>356</v>
      </c>
      <c r="E43" s="36"/>
      <c r="F43" s="36"/>
      <c r="G43" s="36"/>
      <c r="H43" s="36"/>
      <c r="I43" s="36"/>
      <c r="J43" s="36"/>
      <c r="K43" s="36"/>
      <c r="L43" s="36"/>
      <c r="M43" s="36"/>
    </row>
    <row r="44" spans="2:13" s="36" customFormat="1" x14ac:dyDescent="0.25">
      <c r="D44" s="36" t="s">
        <v>428</v>
      </c>
      <c r="L44"/>
      <c r="M44"/>
    </row>
    <row r="45" spans="2:13" x14ac:dyDescent="0.25">
      <c r="B45" s="36"/>
      <c r="C45" s="36"/>
      <c r="D45" s="36"/>
      <c r="E45" s="36" t="s">
        <v>357</v>
      </c>
      <c r="F45" s="36"/>
      <c r="G45" s="36"/>
      <c r="H45" s="36"/>
      <c r="I45" s="36"/>
      <c r="J45" s="36"/>
      <c r="K45" s="36"/>
      <c r="L45" s="36"/>
      <c r="M45" s="36"/>
    </row>
    <row r="46" spans="2:13" x14ac:dyDescent="0.25">
      <c r="B46" s="36"/>
      <c r="C46" s="36"/>
      <c r="D46" s="36"/>
      <c r="E46" s="36" t="s">
        <v>360</v>
      </c>
      <c r="F46" s="36" t="s">
        <v>361</v>
      </c>
      <c r="G46" s="36" t="s">
        <v>362</v>
      </c>
      <c r="H46" s="36" t="s">
        <v>373</v>
      </c>
      <c r="I46" s="36" t="s">
        <v>363</v>
      </c>
      <c r="J46" s="36"/>
      <c r="K46" s="36"/>
    </row>
    <row r="47" spans="2:13" ht="17.25" x14ac:dyDescent="0.25">
      <c r="B47" s="36"/>
      <c r="C47" s="36"/>
      <c r="D47" s="36"/>
      <c r="E47" s="36" t="s">
        <v>358</v>
      </c>
      <c r="F47" s="36" t="s">
        <v>365</v>
      </c>
      <c r="G47" s="36" t="s">
        <v>368</v>
      </c>
      <c r="H47" s="36">
        <v>6.6</v>
      </c>
      <c r="I47" s="36"/>
      <c r="J47" s="36"/>
      <c r="K47" s="36"/>
    </row>
    <row r="48" spans="2:13" ht="17.25" x14ac:dyDescent="0.25">
      <c r="E48" s="36" t="s">
        <v>359</v>
      </c>
      <c r="F48" s="36" t="s">
        <v>364</v>
      </c>
      <c r="G48" s="36" t="s">
        <v>369</v>
      </c>
      <c r="H48">
        <v>0.2</v>
      </c>
      <c r="I48" s="36" t="s">
        <v>371</v>
      </c>
    </row>
    <row r="49" spans="2:11" ht="17.25" x14ac:dyDescent="0.25">
      <c r="B49" s="36"/>
      <c r="C49" s="36"/>
      <c r="D49" s="36"/>
      <c r="E49" s="36" t="s">
        <v>366</v>
      </c>
      <c r="F49" s="36" t="s">
        <v>367</v>
      </c>
      <c r="G49" s="36" t="s">
        <v>370</v>
      </c>
      <c r="H49" s="36">
        <v>3.4</v>
      </c>
      <c r="I49" s="16" t="s">
        <v>372</v>
      </c>
      <c r="J49" s="36"/>
      <c r="K49" s="36"/>
    </row>
    <row r="50" spans="2:11" ht="18" x14ac:dyDescent="0.35">
      <c r="B50" t="s">
        <v>269</v>
      </c>
      <c r="D50" s="36"/>
      <c r="E50" s="36"/>
      <c r="F50" s="36"/>
      <c r="G50" s="36"/>
      <c r="H50" s="36"/>
    </row>
    <row r="51" spans="2:11" x14ac:dyDescent="0.25">
      <c r="B51" t="s">
        <v>354</v>
      </c>
    </row>
    <row r="52" spans="2:11" x14ac:dyDescent="0.25">
      <c r="B52" s="16" t="s">
        <v>178</v>
      </c>
    </row>
    <row r="53" spans="2:11" ht="18.75" x14ac:dyDescent="0.35">
      <c r="B53" t="s">
        <v>267</v>
      </c>
      <c r="C53" t="s">
        <v>507</v>
      </c>
    </row>
    <row r="54" spans="2:11" s="36" customFormat="1" x14ac:dyDescent="0.25">
      <c r="D54" s="36" t="s">
        <v>508</v>
      </c>
    </row>
    <row r="55" spans="2:11" ht="18.75" x14ac:dyDescent="0.35">
      <c r="C55" t="s">
        <v>270</v>
      </c>
    </row>
    <row r="56" spans="2:11" ht="18.75" x14ac:dyDescent="0.35">
      <c r="C56" t="s">
        <v>210</v>
      </c>
    </row>
    <row r="57" spans="2:11" ht="18" x14ac:dyDescent="0.35">
      <c r="C57" t="s">
        <v>271</v>
      </c>
    </row>
    <row r="58" spans="2:11" ht="18.75" x14ac:dyDescent="0.35">
      <c r="C58" t="s">
        <v>509</v>
      </c>
    </row>
    <row r="59" spans="2:11" ht="18" x14ac:dyDescent="0.35">
      <c r="C59" s="124" t="s">
        <v>375</v>
      </c>
    </row>
    <row r="61" spans="2:11" x14ac:dyDescent="0.25">
      <c r="B61" s="16" t="s">
        <v>180</v>
      </c>
    </row>
    <row r="62" spans="2:11" ht="18" x14ac:dyDescent="0.35">
      <c r="B62" t="s">
        <v>195</v>
      </c>
      <c r="C62" t="s">
        <v>215</v>
      </c>
    </row>
    <row r="63" spans="2:11" ht="18" x14ac:dyDescent="0.35">
      <c r="B63" t="s">
        <v>196</v>
      </c>
      <c r="C63" t="s">
        <v>216</v>
      </c>
    </row>
    <row r="64" spans="2:11" ht="18.75" x14ac:dyDescent="0.35">
      <c r="B64" t="s">
        <v>197</v>
      </c>
      <c r="C64" t="s">
        <v>217</v>
      </c>
    </row>
    <row r="65" spans="2:6" x14ac:dyDescent="0.25">
      <c r="D65" t="s">
        <v>181</v>
      </c>
    </row>
    <row r="66" spans="2:6" x14ac:dyDescent="0.25">
      <c r="B66" t="s">
        <v>198</v>
      </c>
      <c r="C66" t="s">
        <v>182</v>
      </c>
    </row>
    <row r="67" spans="2:6" ht="17.25" x14ac:dyDescent="0.25">
      <c r="D67" t="s">
        <v>218</v>
      </c>
    </row>
    <row r="68" spans="2:6" x14ac:dyDescent="0.25">
      <c r="D68" t="s">
        <v>183</v>
      </c>
    </row>
    <row r="69" spans="2:6" ht="17.25" x14ac:dyDescent="0.25">
      <c r="D69" t="s">
        <v>220</v>
      </c>
    </row>
    <row r="70" spans="2:6" ht="18" x14ac:dyDescent="0.35">
      <c r="D70" t="s">
        <v>219</v>
      </c>
    </row>
    <row r="71" spans="2:6" x14ac:dyDescent="0.25">
      <c r="B71" t="s">
        <v>199</v>
      </c>
      <c r="C71" t="s">
        <v>184</v>
      </c>
    </row>
    <row r="72" spans="2:6" x14ac:dyDescent="0.25">
      <c r="D72" t="s">
        <v>185</v>
      </c>
    </row>
    <row r="73" spans="2:6" ht="18.75" x14ac:dyDescent="0.35">
      <c r="E73" t="s">
        <v>221</v>
      </c>
    </row>
    <row r="74" spans="2:6" x14ac:dyDescent="0.25">
      <c r="E74" t="s">
        <v>190</v>
      </c>
    </row>
    <row r="75" spans="2:6" x14ac:dyDescent="0.25">
      <c r="E75" t="s">
        <v>186</v>
      </c>
    </row>
    <row r="76" spans="2:6" x14ac:dyDescent="0.25">
      <c r="E76" t="s">
        <v>187</v>
      </c>
    </row>
    <row r="77" spans="2:6" x14ac:dyDescent="0.25">
      <c r="F77" t="s">
        <v>188</v>
      </c>
    </row>
    <row r="78" spans="2:6" ht="18" x14ac:dyDescent="0.35">
      <c r="F78" t="s">
        <v>222</v>
      </c>
    </row>
    <row r="79" spans="2:6" ht="18" x14ac:dyDescent="0.35">
      <c r="E79" t="s">
        <v>223</v>
      </c>
    </row>
    <row r="80" spans="2:6" x14ac:dyDescent="0.25">
      <c r="E80" t="s">
        <v>194</v>
      </c>
    </row>
    <row r="81" spans="4:8" x14ac:dyDescent="0.25">
      <c r="D81" t="s">
        <v>189</v>
      </c>
    </row>
    <row r="82" spans="4:8" ht="18.75" x14ac:dyDescent="0.35">
      <c r="E82" t="s">
        <v>224</v>
      </c>
    </row>
    <row r="83" spans="4:8" x14ac:dyDescent="0.25">
      <c r="E83" t="s">
        <v>190</v>
      </c>
    </row>
    <row r="84" spans="4:8" x14ac:dyDescent="0.25">
      <c r="E84" t="s">
        <v>191</v>
      </c>
    </row>
    <row r="85" spans="4:8" x14ac:dyDescent="0.25">
      <c r="F85" t="s">
        <v>188</v>
      </c>
    </row>
    <row r="86" spans="4:8" x14ac:dyDescent="0.25">
      <c r="F86" t="s">
        <v>192</v>
      </c>
    </row>
    <row r="87" spans="4:8" x14ac:dyDescent="0.25">
      <c r="G87" t="s">
        <v>193</v>
      </c>
    </row>
    <row r="88" spans="4:8" ht="18.75" x14ac:dyDescent="0.35">
      <c r="G88" t="s">
        <v>225</v>
      </c>
    </row>
    <row r="89" spans="4:8" ht="17.25" x14ac:dyDescent="0.25">
      <c r="D89" t="s">
        <v>226</v>
      </c>
    </row>
    <row r="90" spans="4:8" ht="18" x14ac:dyDescent="0.35">
      <c r="E90" s="36" t="s">
        <v>227</v>
      </c>
      <c r="F90" s="36"/>
      <c r="G90" s="36"/>
      <c r="H90" s="36"/>
    </row>
    <row r="91" spans="4:8" x14ac:dyDescent="0.25">
      <c r="E91" s="36" t="s">
        <v>190</v>
      </c>
      <c r="F91" s="36"/>
      <c r="G91" s="36"/>
      <c r="H91" s="36"/>
    </row>
    <row r="92" spans="4:8" x14ac:dyDescent="0.25">
      <c r="E92" s="36" t="s">
        <v>191</v>
      </c>
      <c r="F92" s="36"/>
      <c r="G92" s="36"/>
      <c r="H92" s="36"/>
    </row>
    <row r="93" spans="4:8" x14ac:dyDescent="0.25">
      <c r="E93" s="36"/>
      <c r="F93" s="36" t="s">
        <v>188</v>
      </c>
      <c r="G93" s="36"/>
      <c r="H93" s="36"/>
    </row>
    <row r="94" spans="4:8" ht="17.25" x14ac:dyDescent="0.25">
      <c r="E94" s="36"/>
      <c r="F94" s="36" t="s">
        <v>228</v>
      </c>
      <c r="G94" s="36"/>
      <c r="H94" s="36"/>
    </row>
    <row r="95" spans="4:8" ht="17.25" x14ac:dyDescent="0.25">
      <c r="D95" t="s">
        <v>229</v>
      </c>
      <c r="E95" s="36"/>
      <c r="F95" s="36"/>
      <c r="G95" s="36"/>
      <c r="H95" s="36"/>
    </row>
    <row r="96" spans="4:8" ht="17.25" x14ac:dyDescent="0.25">
      <c r="E96" t="s">
        <v>230</v>
      </c>
      <c r="G96" s="36"/>
      <c r="H96" s="36"/>
    </row>
    <row r="97" spans="2:6" x14ac:dyDescent="0.25">
      <c r="E97" s="36" t="s">
        <v>231</v>
      </c>
      <c r="F97" s="36"/>
    </row>
    <row r="98" spans="2:6" ht="18.75" x14ac:dyDescent="0.35">
      <c r="F98" t="s">
        <v>232</v>
      </c>
    </row>
    <row r="99" spans="2:6" ht="17.25" x14ac:dyDescent="0.25">
      <c r="F99" t="s">
        <v>233</v>
      </c>
    </row>
    <row r="100" spans="2:6" ht="17.25" x14ac:dyDescent="0.25">
      <c r="E100" t="s">
        <v>234</v>
      </c>
    </row>
    <row r="101" spans="2:6" ht="17.25" x14ac:dyDescent="0.25">
      <c r="F101" t="s">
        <v>235</v>
      </c>
    </row>
    <row r="102" spans="2:6" ht="17.25" x14ac:dyDescent="0.25">
      <c r="F102" t="s">
        <v>239</v>
      </c>
    </row>
    <row r="103" spans="2:6" x14ac:dyDescent="0.25">
      <c r="B103" t="s">
        <v>200</v>
      </c>
      <c r="C103" t="s">
        <v>201</v>
      </c>
    </row>
    <row r="104" spans="2:6" x14ac:dyDescent="0.25">
      <c r="D104" t="s">
        <v>202</v>
      </c>
    </row>
    <row r="105" spans="2:6" ht="18.75" x14ac:dyDescent="0.35">
      <c r="E105" t="s">
        <v>236</v>
      </c>
    </row>
    <row r="106" spans="2:6" ht="18.75" x14ac:dyDescent="0.35">
      <c r="F106" t="s">
        <v>237</v>
      </c>
    </row>
    <row r="107" spans="2:6" ht="18" x14ac:dyDescent="0.35">
      <c r="F107" t="s">
        <v>238</v>
      </c>
    </row>
    <row r="108" spans="2:6" x14ac:dyDescent="0.25">
      <c r="D108" t="s">
        <v>204</v>
      </c>
    </row>
    <row r="109" spans="2:6" x14ac:dyDescent="0.25">
      <c r="D109" t="s">
        <v>205</v>
      </c>
    </row>
    <row r="111" spans="2:6" x14ac:dyDescent="0.25">
      <c r="B111" t="s">
        <v>324</v>
      </c>
    </row>
    <row r="112" spans="2:6" ht="18" x14ac:dyDescent="0.35">
      <c r="C112" t="s">
        <v>331</v>
      </c>
    </row>
    <row r="113" spans="3:5" ht="17.25" x14ac:dyDescent="0.25">
      <c r="C113" t="s">
        <v>332</v>
      </c>
    </row>
    <row r="114" spans="3:5" x14ac:dyDescent="0.25">
      <c r="D114" t="s">
        <v>326</v>
      </c>
    </row>
    <row r="115" spans="3:5" ht="17.25" x14ac:dyDescent="0.25">
      <c r="D115" t="s">
        <v>333</v>
      </c>
    </row>
    <row r="116" spans="3:5" x14ac:dyDescent="0.25">
      <c r="D116" t="s">
        <v>334</v>
      </c>
    </row>
    <row r="117" spans="3:5" x14ac:dyDescent="0.25">
      <c r="E117" t="s">
        <v>329</v>
      </c>
    </row>
    <row r="118" spans="3:5" x14ac:dyDescent="0.25">
      <c r="E118" t="s">
        <v>330</v>
      </c>
    </row>
    <row r="119" spans="3:5" ht="17.25" x14ac:dyDescent="0.25">
      <c r="D119" t="s">
        <v>335</v>
      </c>
    </row>
    <row r="120" spans="3:5" x14ac:dyDescent="0.25">
      <c r="E120" t="s">
        <v>336</v>
      </c>
    </row>
    <row r="121" spans="3:5" x14ac:dyDescent="0.25">
      <c r="C121" t="s">
        <v>327</v>
      </c>
    </row>
    <row r="122" spans="3:5" x14ac:dyDescent="0.25">
      <c r="D122" t="s">
        <v>337</v>
      </c>
    </row>
    <row r="123" spans="3:5" x14ac:dyDescent="0.25">
      <c r="D123" t="s">
        <v>338</v>
      </c>
    </row>
    <row r="124" spans="3:5" x14ac:dyDescent="0.25">
      <c r="D124" t="s">
        <v>339</v>
      </c>
    </row>
    <row r="125" spans="3:5" x14ac:dyDescent="0.25">
      <c r="E125" t="s">
        <v>328</v>
      </c>
    </row>
    <row r="126" spans="3:5" x14ac:dyDescent="0.25">
      <c r="E126" t="s">
        <v>340</v>
      </c>
    </row>
    <row r="127" spans="3:5" x14ac:dyDescent="0.25">
      <c r="E127" t="s">
        <v>341</v>
      </c>
    </row>
    <row r="128" spans="3:5" ht="18" x14ac:dyDescent="0.35">
      <c r="D128" t="s">
        <v>342</v>
      </c>
    </row>
    <row r="129" spans="2:6" ht="18" x14ac:dyDescent="0.35">
      <c r="E129" t="s">
        <v>343</v>
      </c>
    </row>
    <row r="130" spans="2:6" ht="18" x14ac:dyDescent="0.35">
      <c r="E130" t="s">
        <v>344</v>
      </c>
    </row>
    <row r="131" spans="2:6" x14ac:dyDescent="0.25">
      <c r="F131" s="139" t="s">
        <v>345</v>
      </c>
    </row>
    <row r="132" spans="2:6" ht="18" x14ac:dyDescent="0.35">
      <c r="C132" s="124" t="s">
        <v>376</v>
      </c>
    </row>
    <row r="134" spans="2:6" x14ac:dyDescent="0.25">
      <c r="C134" t="s">
        <v>394</v>
      </c>
    </row>
    <row r="135" spans="2:6" x14ac:dyDescent="0.25">
      <c r="D135" t="s">
        <v>395</v>
      </c>
    </row>
    <row r="136" spans="2:6" x14ac:dyDescent="0.25">
      <c r="D136" t="s">
        <v>396</v>
      </c>
    </row>
    <row r="137" spans="2:6" x14ac:dyDescent="0.25">
      <c r="D137" t="s">
        <v>397</v>
      </c>
    </row>
    <row r="139" spans="2:6" ht="17.25" x14ac:dyDescent="0.25">
      <c r="C139" s="36" t="s">
        <v>434</v>
      </c>
    </row>
    <row r="141" spans="2:6" x14ac:dyDescent="0.25">
      <c r="B141" t="s">
        <v>413</v>
      </c>
      <c r="C141" t="s">
        <v>414</v>
      </c>
    </row>
    <row r="143" spans="2:6" x14ac:dyDescent="0.25">
      <c r="B143" t="s">
        <v>436</v>
      </c>
      <c r="C143" t="s">
        <v>438</v>
      </c>
    </row>
    <row r="144" spans="2:6" x14ac:dyDescent="0.25">
      <c r="C144" t="s">
        <v>437</v>
      </c>
    </row>
    <row r="146" spans="2:19" x14ac:dyDescent="0.25">
      <c r="B146" t="s">
        <v>445</v>
      </c>
      <c r="C146" t="s">
        <v>446</v>
      </c>
    </row>
    <row r="147" spans="2:19" x14ac:dyDescent="0.25">
      <c r="B147" s="36"/>
      <c r="C147" s="36" t="s">
        <v>447</v>
      </c>
      <c r="D147" s="36"/>
      <c r="E147" s="36"/>
      <c r="F147" s="36"/>
      <c r="G147" s="36"/>
      <c r="H147" s="36"/>
      <c r="I147" s="36"/>
      <c r="J147" s="36"/>
      <c r="K147" s="36"/>
      <c r="L147" s="36"/>
      <c r="M147" s="36"/>
      <c r="N147" s="36"/>
      <c r="O147" s="36"/>
      <c r="P147" s="36"/>
      <c r="Q147" s="36"/>
      <c r="R147" s="36"/>
      <c r="S147" s="36"/>
    </row>
    <row r="148" spans="2:19" x14ac:dyDescent="0.25">
      <c r="B148" s="36"/>
      <c r="C148" s="36"/>
      <c r="D148" s="36"/>
      <c r="E148" s="36"/>
      <c r="F148" s="36"/>
      <c r="G148" s="36"/>
      <c r="H148" s="36"/>
      <c r="I148" s="36"/>
      <c r="J148" s="36"/>
      <c r="K148" s="36"/>
      <c r="L148" s="36"/>
      <c r="M148" s="36"/>
      <c r="N148" s="36"/>
      <c r="O148" s="36"/>
      <c r="P148" s="36"/>
      <c r="Q148" s="36"/>
      <c r="R148" s="36"/>
      <c r="S148" s="36"/>
    </row>
    <row r="149" spans="2:19" x14ac:dyDescent="0.25">
      <c r="B149" s="36" t="s">
        <v>455</v>
      </c>
      <c r="C149" s="36" t="s">
        <v>448</v>
      </c>
      <c r="D149" s="36"/>
      <c r="E149" s="36"/>
      <c r="F149" s="36"/>
      <c r="G149" s="36"/>
      <c r="H149" s="36"/>
      <c r="I149" s="36"/>
      <c r="J149" s="36"/>
      <c r="K149" s="36"/>
      <c r="L149" s="36"/>
      <c r="M149" s="36"/>
      <c r="N149" s="36"/>
      <c r="O149" s="36"/>
      <c r="P149" s="36"/>
      <c r="Q149" s="36"/>
      <c r="R149" s="36"/>
      <c r="S149" s="36"/>
    </row>
    <row r="150" spans="2:19" x14ac:dyDescent="0.25">
      <c r="B150" s="36" t="s">
        <v>457</v>
      </c>
      <c r="C150" s="36" t="s">
        <v>456</v>
      </c>
      <c r="D150" s="36"/>
      <c r="E150" s="36"/>
      <c r="F150" s="36"/>
      <c r="G150" s="36"/>
      <c r="H150" s="36"/>
      <c r="I150" s="36"/>
      <c r="J150" s="36"/>
      <c r="K150" s="36"/>
      <c r="L150" s="36"/>
      <c r="M150" s="36"/>
      <c r="N150" s="36"/>
      <c r="O150" s="36"/>
      <c r="P150" s="36"/>
      <c r="Q150" s="36"/>
      <c r="R150" s="36"/>
      <c r="S150" s="36"/>
    </row>
    <row r="151" spans="2:19" x14ac:dyDescent="0.25">
      <c r="B151" s="36"/>
      <c r="C151" s="36"/>
      <c r="D151" s="36" t="s">
        <v>449</v>
      </c>
      <c r="E151" s="36"/>
      <c r="F151" s="36"/>
      <c r="G151" s="36"/>
      <c r="H151" s="36"/>
      <c r="I151" s="36"/>
      <c r="J151" s="36"/>
      <c r="K151" s="36"/>
      <c r="L151" s="36"/>
      <c r="M151" s="36"/>
      <c r="N151" s="36"/>
      <c r="O151" s="36"/>
      <c r="P151" s="36"/>
      <c r="Q151" s="36"/>
      <c r="R151" s="36"/>
      <c r="S151" s="36"/>
    </row>
    <row r="152" spans="2:19" x14ac:dyDescent="0.25">
      <c r="B152" s="36"/>
      <c r="C152" s="36"/>
      <c r="D152" s="36" t="s">
        <v>450</v>
      </c>
      <c r="E152" s="36"/>
      <c r="F152" s="36"/>
      <c r="G152" s="36"/>
      <c r="H152" s="36"/>
      <c r="I152" s="36"/>
      <c r="J152" s="36"/>
      <c r="K152" s="36"/>
      <c r="L152" s="36"/>
      <c r="M152" s="36"/>
      <c r="N152" s="36"/>
      <c r="O152" s="36"/>
      <c r="P152" s="36"/>
      <c r="Q152" s="36"/>
      <c r="R152" s="36"/>
      <c r="S152" s="36"/>
    </row>
    <row r="153" spans="2:19" x14ac:dyDescent="0.25">
      <c r="B153" s="36"/>
      <c r="C153" s="36"/>
      <c r="D153" s="36" t="s">
        <v>451</v>
      </c>
      <c r="E153" s="36"/>
      <c r="F153" s="36"/>
      <c r="G153" s="36"/>
      <c r="H153" s="36"/>
      <c r="I153" s="36"/>
      <c r="J153" s="36"/>
      <c r="K153" s="36"/>
      <c r="L153" s="36"/>
      <c r="M153" s="36"/>
      <c r="N153" s="36"/>
      <c r="O153" s="36"/>
      <c r="P153" s="36"/>
      <c r="Q153" s="36"/>
      <c r="R153" s="36"/>
      <c r="S153" s="36"/>
    </row>
    <row r="154" spans="2:19" x14ac:dyDescent="0.25">
      <c r="B154" s="36"/>
      <c r="C154" s="36"/>
      <c r="D154" s="36" t="s">
        <v>452</v>
      </c>
      <c r="E154" s="36"/>
      <c r="F154" s="36"/>
      <c r="G154" s="36"/>
      <c r="H154" s="36"/>
      <c r="I154" s="36"/>
      <c r="J154" s="36"/>
      <c r="K154" s="36"/>
      <c r="L154" s="36"/>
      <c r="M154" s="36"/>
      <c r="N154" s="36"/>
      <c r="O154" s="36"/>
      <c r="P154" s="36"/>
      <c r="Q154" s="36"/>
      <c r="R154" s="36"/>
      <c r="S154" s="36"/>
    </row>
    <row r="155" spans="2:19" x14ac:dyDescent="0.25">
      <c r="B155" s="36"/>
      <c r="C155" s="36"/>
      <c r="D155" s="36"/>
      <c r="E155" s="36"/>
      <c r="F155" s="36" t="s">
        <v>453</v>
      </c>
      <c r="G155" s="36"/>
      <c r="H155" s="36"/>
      <c r="I155" s="36"/>
      <c r="J155" s="36"/>
      <c r="K155" s="36"/>
      <c r="L155" s="36"/>
      <c r="M155" s="36"/>
      <c r="N155" s="36"/>
      <c r="O155" s="36"/>
      <c r="P155" s="36"/>
      <c r="Q155" s="36"/>
      <c r="R155" s="36"/>
      <c r="S155" s="36"/>
    </row>
    <row r="156" spans="2:19" x14ac:dyDescent="0.25">
      <c r="B156" s="36"/>
      <c r="C156" s="36"/>
      <c r="D156" s="36"/>
      <c r="E156" s="36"/>
      <c r="F156" s="36" t="s">
        <v>454</v>
      </c>
      <c r="G156" s="36"/>
      <c r="H156" s="36"/>
      <c r="I156" s="36"/>
      <c r="J156" s="36"/>
      <c r="K156" s="36"/>
      <c r="L156" s="36"/>
      <c r="M156" s="36"/>
      <c r="N156" s="36"/>
      <c r="O156" s="36"/>
      <c r="P156" s="36"/>
      <c r="Q156" s="36"/>
      <c r="R156" s="36"/>
      <c r="S156" s="36"/>
    </row>
    <row r="157" spans="2:19" x14ac:dyDescent="0.25">
      <c r="B157" s="36"/>
      <c r="C157" s="36" t="s">
        <v>460</v>
      </c>
      <c r="D157" s="36"/>
      <c r="E157" s="36"/>
      <c r="F157" s="36"/>
      <c r="G157" s="36"/>
      <c r="H157" s="36"/>
      <c r="I157" s="36"/>
      <c r="J157" s="36"/>
      <c r="K157" s="36"/>
      <c r="L157" s="36"/>
      <c r="M157" s="36"/>
      <c r="N157" s="36"/>
      <c r="O157" s="36"/>
      <c r="P157" s="36"/>
      <c r="Q157" s="36"/>
      <c r="R157" s="36"/>
      <c r="S157" s="36"/>
    </row>
    <row r="159" spans="2:19" x14ac:dyDescent="0.25">
      <c r="C159" s="285">
        <v>43190</v>
      </c>
      <c r="D159" t="s">
        <v>461</v>
      </c>
    </row>
    <row r="160" spans="2:19" x14ac:dyDescent="0.25">
      <c r="C160" s="329">
        <v>43435</v>
      </c>
      <c r="D160" t="s">
        <v>496</v>
      </c>
    </row>
    <row r="162" spans="3:4" x14ac:dyDescent="0.25">
      <c r="C162" s="285">
        <v>43750</v>
      </c>
      <c r="D162" t="s">
        <v>510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4"/>
  <sheetViews>
    <sheetView topLeftCell="A3" zoomScaleNormal="100" workbookViewId="0">
      <selection activeCell="J9" sqref="J9:J13"/>
    </sheetView>
  </sheetViews>
  <sheetFormatPr defaultRowHeight="15" x14ac:dyDescent="0.25"/>
  <cols>
    <col min="1" max="1" width="19.28515625" style="182" customWidth="1"/>
    <col min="2" max="2" width="19.42578125" style="182" customWidth="1"/>
    <col min="3" max="3" width="19.5703125" style="182" customWidth="1"/>
    <col min="4" max="4" width="9.140625" style="182"/>
    <col min="5" max="5" width="13" style="182" customWidth="1"/>
    <col min="6" max="6" width="11" style="182" customWidth="1"/>
    <col min="7" max="7" width="14.140625" style="182" customWidth="1"/>
    <col min="8" max="8" width="16.85546875" style="182" customWidth="1"/>
    <col min="9" max="9" width="18.42578125" style="182" customWidth="1"/>
    <col min="10" max="10" width="11.42578125" style="182" customWidth="1"/>
    <col min="11" max="16384" width="9.140625" style="182"/>
  </cols>
  <sheetData>
    <row r="1" spans="1:16" ht="21.75" x14ac:dyDescent="0.35">
      <c r="A1" s="298" t="s">
        <v>262</v>
      </c>
      <c r="D1" s="299"/>
    </row>
    <row r="2" spans="1:16" ht="20.25" x14ac:dyDescent="0.35">
      <c r="A2" s="298" t="s">
        <v>260</v>
      </c>
      <c r="D2" s="299"/>
    </row>
    <row r="3" spans="1:16" ht="19.5" x14ac:dyDescent="0.35">
      <c r="A3" s="300" t="s">
        <v>261</v>
      </c>
      <c r="D3" s="299"/>
      <c r="J3" s="180" t="s">
        <v>393</v>
      </c>
    </row>
    <row r="4" spans="1:16" x14ac:dyDescent="0.25">
      <c r="A4" s="301" t="s">
        <v>410</v>
      </c>
      <c r="B4" s="302"/>
      <c r="C4" s="302"/>
      <c r="D4" s="302"/>
      <c r="F4" s="303"/>
      <c r="I4" s="303"/>
      <c r="J4" s="183" t="s">
        <v>392</v>
      </c>
    </row>
    <row r="5" spans="1:16" s="303" customFormat="1" x14ac:dyDescent="0.25">
      <c r="A5" s="246" t="s">
        <v>110</v>
      </c>
      <c r="B5" s="304"/>
    </row>
    <row r="6" spans="1:16" ht="18.75" x14ac:dyDescent="0.3">
      <c r="A6" s="305" t="s">
        <v>472</v>
      </c>
      <c r="B6" s="303"/>
      <c r="C6" s="303"/>
      <c r="D6" s="303"/>
      <c r="E6" s="303"/>
      <c r="F6" s="303"/>
      <c r="I6" s="181"/>
    </row>
    <row r="7" spans="1:16" ht="19.5" thickBot="1" x14ac:dyDescent="0.35">
      <c r="A7" s="305"/>
      <c r="B7" s="306" t="s">
        <v>409</v>
      </c>
      <c r="C7" s="303"/>
      <c r="D7" s="303"/>
      <c r="E7" s="303"/>
      <c r="F7" s="303"/>
      <c r="I7" s="181"/>
    </row>
    <row r="8" spans="1:16" ht="18" x14ac:dyDescent="0.35">
      <c r="A8" s="180" t="s">
        <v>54</v>
      </c>
      <c r="B8" s="307" t="s">
        <v>240</v>
      </c>
      <c r="C8" s="308" t="s">
        <v>242</v>
      </c>
      <c r="D8" s="309"/>
      <c r="E8" s="182" t="s">
        <v>146</v>
      </c>
      <c r="I8" s="181"/>
    </row>
    <row r="9" spans="1:16" ht="17.25" x14ac:dyDescent="0.25">
      <c r="A9" s="182" t="s">
        <v>243</v>
      </c>
      <c r="B9" s="310" t="s">
        <v>473</v>
      </c>
      <c r="C9" s="311"/>
      <c r="D9" s="309"/>
      <c r="E9" s="180" t="s">
        <v>499</v>
      </c>
      <c r="F9" s="217" t="s">
        <v>1</v>
      </c>
      <c r="G9" s="180" t="s">
        <v>212</v>
      </c>
      <c r="H9" s="180" t="s">
        <v>500</v>
      </c>
      <c r="I9" s="181" t="s">
        <v>501</v>
      </c>
      <c r="J9" s="180" t="s">
        <v>502</v>
      </c>
      <c r="K9" s="180" t="s">
        <v>503</v>
      </c>
    </row>
    <row r="10" spans="1:16" ht="17.25" x14ac:dyDescent="0.25">
      <c r="A10" s="180" t="s">
        <v>135</v>
      </c>
      <c r="B10" s="310" t="s">
        <v>474</v>
      </c>
      <c r="C10" s="311"/>
      <c r="D10" s="226"/>
      <c r="E10" s="182">
        <v>2.0052E-3</v>
      </c>
      <c r="F10" s="218">
        <v>2.0052E-3</v>
      </c>
      <c r="G10" s="182">
        <v>2.0052E-3</v>
      </c>
      <c r="H10" s="182">
        <v>2.0052E-3</v>
      </c>
      <c r="I10" s="218">
        <v>2.0052E-3</v>
      </c>
      <c r="J10" s="182">
        <v>2.0052E-3</v>
      </c>
      <c r="K10" s="182">
        <v>2.0052E-3</v>
      </c>
      <c r="O10" s="182" t="s">
        <v>297</v>
      </c>
    </row>
    <row r="11" spans="1:16" ht="18.75" x14ac:dyDescent="0.35">
      <c r="A11" s="180" t="s">
        <v>134</v>
      </c>
      <c r="B11" s="260" t="s">
        <v>240</v>
      </c>
      <c r="C11" s="261" t="s">
        <v>242</v>
      </c>
      <c r="D11" s="312"/>
      <c r="E11" s="219">
        <v>1.1180280000000001E-2</v>
      </c>
      <c r="F11" s="219">
        <v>1.1237199999999999E-2</v>
      </c>
      <c r="G11" s="219">
        <v>1.1180280000000001E-2</v>
      </c>
      <c r="H11" s="219">
        <v>1.1237199999999999E-2</v>
      </c>
      <c r="I11" s="219">
        <v>1.1180280000000001E-2</v>
      </c>
      <c r="J11" s="219">
        <v>1.1237199999999999E-2</v>
      </c>
      <c r="K11" s="219">
        <v>1.1237199999999999E-2</v>
      </c>
      <c r="O11" s="182" t="s">
        <v>298</v>
      </c>
    </row>
    <row r="12" spans="1:16" x14ac:dyDescent="0.25">
      <c r="A12" s="180" t="s">
        <v>8</v>
      </c>
      <c r="B12" s="310" t="s">
        <v>484</v>
      </c>
      <c r="C12" s="311"/>
      <c r="D12" s="312"/>
      <c r="E12" s="219">
        <v>0.52800000000000002</v>
      </c>
      <c r="F12" s="219">
        <v>0.51600000000000001</v>
      </c>
      <c r="G12" s="219">
        <v>0.51600000000000001</v>
      </c>
      <c r="H12" s="219">
        <v>0.51639999999999997</v>
      </c>
      <c r="I12" s="220">
        <v>0.51639999999999997</v>
      </c>
      <c r="J12" s="219">
        <v>0.52800000000000002</v>
      </c>
      <c r="K12" s="219">
        <v>0.52800000000000002</v>
      </c>
      <c r="O12" s="182" t="s">
        <v>299</v>
      </c>
      <c r="P12" s="313">
        <v>2.0052E-3</v>
      </c>
    </row>
    <row r="13" spans="1:16" x14ac:dyDescent="0.25">
      <c r="A13" s="180" t="s">
        <v>9</v>
      </c>
      <c r="B13" s="310" t="s">
        <v>475</v>
      </c>
      <c r="C13" s="311" t="s">
        <v>476</v>
      </c>
      <c r="D13" s="312"/>
      <c r="E13" s="219">
        <v>1.022461E-2</v>
      </c>
      <c r="F13" s="219">
        <v>9.9240000000000005E-3</v>
      </c>
      <c r="G13" s="219">
        <v>9.9240000000000005E-3</v>
      </c>
      <c r="H13" s="219">
        <v>9.3939999999999996E-3</v>
      </c>
      <c r="I13" s="220">
        <v>9.3939999999999996E-3</v>
      </c>
      <c r="J13" s="219">
        <v>1.027689E-2</v>
      </c>
      <c r="K13" s="219">
        <v>1.022461E-2</v>
      </c>
      <c r="O13" s="182" t="s">
        <v>300</v>
      </c>
      <c r="P13" s="313">
        <v>3.7990000000000002E-4</v>
      </c>
    </row>
    <row r="14" spans="1:16" x14ac:dyDescent="0.25">
      <c r="A14" s="225" t="s">
        <v>98</v>
      </c>
      <c r="B14" s="314" t="s">
        <v>471</v>
      </c>
      <c r="C14" s="315"/>
      <c r="D14" s="226"/>
      <c r="E14" s="221" t="s">
        <v>98</v>
      </c>
      <c r="J14" s="222"/>
      <c r="K14" s="222"/>
    </row>
    <row r="15" spans="1:16" ht="17.25" x14ac:dyDescent="0.25">
      <c r="A15" s="227" t="s">
        <v>136</v>
      </c>
      <c r="B15" s="314" t="s">
        <v>473</v>
      </c>
      <c r="C15" s="315"/>
      <c r="D15" s="230"/>
      <c r="E15" s="223">
        <f t="shared" ref="E15:K15" si="0">E13*E10^E12</f>
        <v>3.8475654393587772E-4</v>
      </c>
      <c r="F15" s="223">
        <f t="shared" si="0"/>
        <v>4.0234640637507534E-4</v>
      </c>
      <c r="G15" s="223">
        <f t="shared" si="0"/>
        <v>4.0234640637507534E-4</v>
      </c>
      <c r="H15" s="223">
        <f t="shared" si="0"/>
        <v>3.7991355581680632E-4</v>
      </c>
      <c r="I15" s="223">
        <f t="shared" si="0"/>
        <v>3.7991355581680632E-4</v>
      </c>
      <c r="J15" s="223">
        <f t="shared" si="0"/>
        <v>3.867238631898119E-4</v>
      </c>
      <c r="K15" s="223">
        <f t="shared" si="0"/>
        <v>3.8475654393587772E-4</v>
      </c>
      <c r="O15" s="182" t="s">
        <v>301</v>
      </c>
      <c r="P15" s="182">
        <v>0.51639999999999997</v>
      </c>
    </row>
    <row r="16" spans="1:16" ht="17.25" x14ac:dyDescent="0.25">
      <c r="A16" s="227" t="s">
        <v>137</v>
      </c>
      <c r="B16" s="314" t="s">
        <v>484</v>
      </c>
      <c r="C16" s="315"/>
      <c r="D16" s="226"/>
      <c r="E16" s="224">
        <f t="shared" ref="E16:J16" si="1">1/(1+E10+E15)</f>
        <v>0.99761574172971967</v>
      </c>
      <c r="F16" s="224">
        <f t="shared" si="1"/>
        <v>0.99759823595202757</v>
      </c>
      <c r="G16" s="224">
        <f t="shared" si="1"/>
        <v>0.99759823595202757</v>
      </c>
      <c r="H16" s="224">
        <f t="shared" si="1"/>
        <v>0.99762056167478785</v>
      </c>
      <c r="I16" s="224">
        <f t="shared" si="1"/>
        <v>0.99762056167478785</v>
      </c>
      <c r="J16" s="224">
        <f t="shared" si="1"/>
        <v>0.99761378378431931</v>
      </c>
      <c r="K16" s="224">
        <f>1/(1+K10+K15)</f>
        <v>0.99761574172971967</v>
      </c>
      <c r="O16" s="182" t="s">
        <v>302</v>
      </c>
    </row>
    <row r="17" spans="1:16" ht="17.25" x14ac:dyDescent="0.25">
      <c r="A17" s="227" t="s">
        <v>138</v>
      </c>
      <c r="B17" s="314" t="s">
        <v>477</v>
      </c>
      <c r="C17" s="315" t="s">
        <v>478</v>
      </c>
      <c r="D17" s="226"/>
      <c r="E17" s="224">
        <f t="shared" ref="E17:J17" si="2">1/(1+E11)</f>
        <v>0.98894333659275868</v>
      </c>
      <c r="F17" s="224">
        <f t="shared" si="2"/>
        <v>0.98888767145828882</v>
      </c>
      <c r="G17" s="224">
        <f t="shared" si="2"/>
        <v>0.98894333659275868</v>
      </c>
      <c r="H17" s="224">
        <f t="shared" si="2"/>
        <v>0.98888767145828882</v>
      </c>
      <c r="I17" s="224">
        <f t="shared" si="2"/>
        <v>0.98894333659275868</v>
      </c>
      <c r="J17" s="224">
        <f t="shared" si="2"/>
        <v>0.98888767145828882</v>
      </c>
      <c r="K17" s="224">
        <f>1/(1+K11)</f>
        <v>0.98888767145828882</v>
      </c>
      <c r="O17" s="182" t="s">
        <v>303</v>
      </c>
      <c r="P17" s="182">
        <f>P13/(P12^P15)</f>
        <v>9.3936648096886021E-3</v>
      </c>
    </row>
    <row r="18" spans="1:16" ht="19.5" thickBot="1" x14ac:dyDescent="0.35">
      <c r="A18" s="305" t="s">
        <v>479</v>
      </c>
      <c r="B18" s="316"/>
      <c r="C18" s="317"/>
      <c r="D18" s="318"/>
      <c r="E18" s="303" t="s">
        <v>290</v>
      </c>
      <c r="F18" s="319">
        <f>1000*(F15/E15 -1)</f>
        <v>45.716863602270678</v>
      </c>
      <c r="G18" s="319">
        <f>1000*(G15/E15 -1)</f>
        <v>45.716863602270678</v>
      </c>
      <c r="H18" s="319">
        <f>1000*(H15/E15 -1)</f>
        <v>-12.587149446582234</v>
      </c>
      <c r="I18" s="319">
        <f>1000*(I15/E15 -1)</f>
        <v>-12.587149446582234</v>
      </c>
      <c r="J18" s="319">
        <f>1000*(J15/E15 -1)</f>
        <v>5.1131534601320805</v>
      </c>
      <c r="K18" s="319">
        <f>1000*(K15/E15 -1)</f>
        <v>0</v>
      </c>
    </row>
    <row r="19" spans="1:16" ht="15.75" thickBot="1" x14ac:dyDescent="0.3">
      <c r="A19" s="307" t="s">
        <v>99</v>
      </c>
      <c r="B19" s="306" t="s">
        <v>409</v>
      </c>
      <c r="C19" s="320"/>
      <c r="D19" s="321"/>
      <c r="E19" s="182" t="s">
        <v>292</v>
      </c>
    </row>
    <row r="20" spans="1:16" ht="18.75" x14ac:dyDescent="0.35">
      <c r="A20" s="260" t="s">
        <v>247</v>
      </c>
      <c r="B20" s="322" t="s">
        <v>491</v>
      </c>
      <c r="C20" s="323" t="s">
        <v>241</v>
      </c>
      <c r="D20" s="324">
        <v>-3.61</v>
      </c>
      <c r="E20" s="182">
        <f>E15/E11</f>
        <v>3.4413855818984651E-2</v>
      </c>
      <c r="F20" s="182">
        <f t="shared" ref="F20:K20" si="3">F15/F11</f>
        <v>3.5804862988562572E-2</v>
      </c>
      <c r="G20" s="182">
        <f t="shared" si="3"/>
        <v>3.5987149371489384E-2</v>
      </c>
      <c r="H20" s="182">
        <f t="shared" si="3"/>
        <v>3.3808560479194671E-2</v>
      </c>
      <c r="I20" s="182">
        <f t="shared" si="3"/>
        <v>3.3980683472757955E-2</v>
      </c>
      <c r="J20" s="182">
        <f t="shared" si="3"/>
        <v>3.4414610685029358E-2</v>
      </c>
      <c r="K20" s="182">
        <f t="shared" si="3"/>
        <v>3.4239538669408549E-2</v>
      </c>
    </row>
    <row r="21" spans="1:16" ht="19.5" thickBot="1" x14ac:dyDescent="0.4">
      <c r="A21" s="325" t="s">
        <v>248</v>
      </c>
      <c r="B21" s="326"/>
      <c r="C21" s="327"/>
      <c r="D21" s="328">
        <v>24.99</v>
      </c>
      <c r="E21" s="182" t="s">
        <v>293</v>
      </c>
    </row>
    <row r="22" spans="1:16" x14ac:dyDescent="0.25">
      <c r="B22" s="182" t="s">
        <v>346</v>
      </c>
      <c r="F22" s="182">
        <f t="shared" ref="F22:K22" si="4">1000*(F20-$E$20)/$E$20</f>
        <v>40.419974352614148</v>
      </c>
      <c r="G22" s="182">
        <f t="shared" si="4"/>
        <v>45.716863602270749</v>
      </c>
      <c r="H22" s="182">
        <f t="shared" si="4"/>
        <v>-17.588710285002826</v>
      </c>
      <c r="I22" s="182">
        <f t="shared" si="4"/>
        <v>-12.587149446582298</v>
      </c>
      <c r="J22" s="182">
        <f t="shared" si="4"/>
        <v>2.1934945292889477E-2</v>
      </c>
      <c r="K22" s="182">
        <f t="shared" si="4"/>
        <v>-5.0653187626810015</v>
      </c>
    </row>
    <row r="23" spans="1:16" x14ac:dyDescent="0.25">
      <c r="B23" s="302" t="s">
        <v>492</v>
      </c>
      <c r="C23" s="182" t="s">
        <v>291</v>
      </c>
      <c r="F23" s="182" t="s">
        <v>442</v>
      </c>
      <c r="G23" s="182">
        <v>80</v>
      </c>
      <c r="H23" s="182" t="s">
        <v>441</v>
      </c>
      <c r="I23" s="182">
        <v>50</v>
      </c>
      <c r="J23" s="182">
        <v>1</v>
      </c>
      <c r="K23" s="182">
        <v>15</v>
      </c>
      <c r="L23" s="182" t="s">
        <v>294</v>
      </c>
    </row>
    <row r="24" spans="1:16" x14ac:dyDescent="0.25">
      <c r="B24" s="302"/>
      <c r="C24" s="182" t="s">
        <v>291</v>
      </c>
    </row>
  </sheetData>
  <sheetProtection algorithmName="SHA-512" hashValue="a/KkI4GyXN99vOre3TdCYxQJLHTxTSy5FNzRRiZzT50bU+lBcLjzZFrE9h+/EIz5Iqa4hrOSAakH5+QXLFNDSw==" saltValue="QWnHQCkM5bTG9JZDu56YUQ==" spinCount="100000" sheet="1" objects="1" scenarios="1"/>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8"/>
  <sheetViews>
    <sheetView zoomScaleNormal="100" workbookViewId="0">
      <selection activeCell="B8" sqref="B8"/>
    </sheetView>
  </sheetViews>
  <sheetFormatPr defaultRowHeight="15" x14ac:dyDescent="0.25"/>
  <cols>
    <col min="1" max="1" width="41.42578125" customWidth="1"/>
    <col min="2" max="2" width="25.85546875" customWidth="1"/>
    <col min="3" max="3" width="12.140625" customWidth="1"/>
    <col min="4" max="4" width="10.140625" customWidth="1"/>
    <col min="10" max="10" width="39.85546875" customWidth="1"/>
  </cols>
  <sheetData>
    <row r="1" spans="1:18" s="36" customFormat="1" ht="21.75" x14ac:dyDescent="0.35">
      <c r="A1" s="120" t="s">
        <v>259</v>
      </c>
      <c r="D1" s="85"/>
    </row>
    <row r="2" spans="1:18" s="36" customFormat="1" ht="18.75" x14ac:dyDescent="0.3">
      <c r="A2" s="295" t="s">
        <v>480</v>
      </c>
      <c r="B2" s="41"/>
      <c r="C2" s="41"/>
      <c r="D2" s="85"/>
      <c r="E2" s="11"/>
      <c r="F2" s="11"/>
      <c r="G2" s="11"/>
      <c r="H2" s="11"/>
      <c r="I2" s="11"/>
      <c r="J2" s="11"/>
      <c r="L2" s="3"/>
      <c r="O2" s="94"/>
      <c r="P2" s="11"/>
      <c r="Q2" s="11"/>
      <c r="R2" s="11"/>
    </row>
    <row r="3" spans="1:18" s="36" customFormat="1" ht="18.75" x14ac:dyDescent="0.3">
      <c r="A3" s="119" t="s">
        <v>430</v>
      </c>
      <c r="B3" s="11"/>
      <c r="C3" s="11"/>
      <c r="D3" s="86"/>
      <c r="E3" s="11"/>
      <c r="F3" s="11"/>
      <c r="G3" s="11"/>
      <c r="H3" s="11"/>
      <c r="I3" s="32"/>
      <c r="R3" s="11"/>
    </row>
    <row r="4" spans="1:18" s="36" customFormat="1" ht="16.5" thickBot="1" x14ac:dyDescent="0.3">
      <c r="A4" s="77" t="s">
        <v>64</v>
      </c>
      <c r="B4" s="297" t="s">
        <v>481</v>
      </c>
      <c r="C4" s="9" t="s">
        <v>241</v>
      </c>
      <c r="F4" s="74"/>
      <c r="G4" s="11"/>
      <c r="H4" s="11"/>
      <c r="I4" s="74"/>
      <c r="K4" s="115"/>
      <c r="L4" s="3"/>
      <c r="M4" s="3"/>
      <c r="N4" s="3"/>
      <c r="O4" s="3"/>
      <c r="P4" s="3"/>
      <c r="Q4" s="3"/>
      <c r="R4" s="3"/>
    </row>
    <row r="5" spans="1:18" s="36" customFormat="1" ht="15.75" x14ac:dyDescent="0.25">
      <c r="A5" s="38" t="s">
        <v>164</v>
      </c>
      <c r="B5" s="41" t="s">
        <v>482</v>
      </c>
      <c r="C5" s="18">
        <v>16000</v>
      </c>
      <c r="D5" s="36" t="s">
        <v>272</v>
      </c>
      <c r="F5" s="11"/>
      <c r="G5" s="74"/>
      <c r="H5" s="11"/>
      <c r="I5" s="11"/>
      <c r="K5" s="98"/>
      <c r="L5" s="3"/>
      <c r="M5" s="3"/>
      <c r="N5" s="3"/>
      <c r="O5" s="3"/>
      <c r="P5" s="3"/>
      <c r="Q5" s="3"/>
      <c r="R5" s="3"/>
    </row>
    <row r="6" spans="1:18" s="36" customFormat="1" ht="15.75" x14ac:dyDescent="0.25">
      <c r="A6" s="38" t="s">
        <v>166</v>
      </c>
      <c r="B6" s="264" t="s">
        <v>483</v>
      </c>
      <c r="C6" s="19">
        <f>300/3</f>
        <v>100</v>
      </c>
      <c r="D6" s="36" t="s">
        <v>84</v>
      </c>
      <c r="F6" s="11"/>
      <c r="G6" s="11"/>
      <c r="H6" s="11"/>
      <c r="I6" s="11"/>
      <c r="K6" s="98"/>
      <c r="L6" s="3"/>
      <c r="M6" s="3"/>
      <c r="N6" s="3"/>
      <c r="O6" s="3"/>
      <c r="P6" s="3"/>
      <c r="Q6" s="3"/>
      <c r="R6" s="3"/>
    </row>
    <row r="7" spans="1:18" s="36" customFormat="1" ht="15.75" x14ac:dyDescent="0.25">
      <c r="A7" s="38" t="s">
        <v>167</v>
      </c>
      <c r="B7" s="264" t="s">
        <v>485</v>
      </c>
      <c r="C7" s="290">
        <f>1000/3</f>
        <v>333.33333333333331</v>
      </c>
      <c r="D7" s="36" t="s">
        <v>244</v>
      </c>
      <c r="F7" s="11"/>
      <c r="G7" s="11"/>
      <c r="H7" s="11"/>
      <c r="I7" s="11"/>
      <c r="K7" s="98"/>
      <c r="L7" s="3"/>
      <c r="M7" s="3"/>
      <c r="N7" s="3"/>
      <c r="O7" s="3"/>
      <c r="P7" s="3"/>
      <c r="Q7" s="3"/>
      <c r="R7" s="3"/>
    </row>
    <row r="8" spans="1:18" s="36" customFormat="1" ht="15.75" x14ac:dyDescent="0.25">
      <c r="A8" s="240" t="s">
        <v>165</v>
      </c>
      <c r="B8" s="265"/>
      <c r="C8" s="291">
        <f>10000/3</f>
        <v>3333.3333333333335</v>
      </c>
      <c r="F8" s="11"/>
      <c r="G8" s="11"/>
      <c r="H8" s="11"/>
      <c r="K8" s="98"/>
      <c r="L8" s="3"/>
      <c r="M8" s="3"/>
      <c r="N8" s="3"/>
      <c r="O8" s="3"/>
      <c r="P8" s="3"/>
      <c r="Q8" s="3"/>
      <c r="R8" s="3"/>
    </row>
    <row r="9" spans="1:18" s="36" customFormat="1" ht="15.75" x14ac:dyDescent="0.25">
      <c r="A9" s="112" t="s">
        <v>322</v>
      </c>
      <c r="B9" s="266"/>
      <c r="C9" s="292">
        <v>0</v>
      </c>
      <c r="D9" s="16" t="s">
        <v>323</v>
      </c>
      <c r="F9" s="11"/>
      <c r="G9" s="11"/>
      <c r="H9" s="11"/>
      <c r="K9" s="98"/>
      <c r="L9" s="3"/>
      <c r="M9" s="3"/>
      <c r="N9" s="3"/>
      <c r="O9" s="3"/>
      <c r="P9" s="3"/>
      <c r="Q9" s="3"/>
      <c r="R9" s="3"/>
    </row>
    <row r="10" spans="1:18" s="11" customFormat="1" ht="15.75" x14ac:dyDescent="0.25">
      <c r="A10" s="137"/>
      <c r="B10" s="122"/>
      <c r="C10" s="20"/>
      <c r="K10" s="138"/>
      <c r="L10" s="5"/>
      <c r="M10" s="5"/>
      <c r="N10" s="5"/>
      <c r="O10" s="5"/>
      <c r="P10" s="5"/>
      <c r="Q10" s="5"/>
      <c r="R10" s="5"/>
    </row>
    <row r="11" spans="1:18" s="36" customFormat="1" ht="20.25" x14ac:dyDescent="0.35">
      <c r="A11" s="123" t="s">
        <v>431</v>
      </c>
      <c r="B11" s="122"/>
      <c r="C11" s="20"/>
      <c r="F11" s="11"/>
      <c r="G11" s="11"/>
      <c r="H11" s="11"/>
      <c r="K11" s="98"/>
      <c r="L11" s="3"/>
      <c r="M11" s="3"/>
      <c r="N11" s="3"/>
      <c r="O11" s="3"/>
      <c r="P11" s="3"/>
      <c r="Q11" s="3"/>
      <c r="R11" s="3"/>
    </row>
    <row r="12" spans="1:18" s="36" customFormat="1" ht="19.5" thickBot="1" x14ac:dyDescent="0.35">
      <c r="A12" s="123"/>
      <c r="B12" s="296" t="s">
        <v>409</v>
      </c>
      <c r="C12" s="20"/>
      <c r="F12" s="11"/>
      <c r="G12" s="11"/>
      <c r="H12" s="11"/>
      <c r="K12" s="98"/>
      <c r="L12" s="3"/>
      <c r="M12" s="3"/>
      <c r="N12" s="3"/>
      <c r="O12" s="3"/>
      <c r="P12" s="3"/>
      <c r="Q12" s="3"/>
      <c r="R12" s="3"/>
    </row>
    <row r="13" spans="1:18" s="36" customFormat="1" ht="20.25" customHeight="1" thickBot="1" x14ac:dyDescent="0.3">
      <c r="A13" s="113" t="s">
        <v>249</v>
      </c>
      <c r="B13" s="76" t="s">
        <v>139</v>
      </c>
      <c r="C13" s="76" t="s">
        <v>295</v>
      </c>
      <c r="D13" s="32" t="s">
        <v>250</v>
      </c>
      <c r="K13" s="98"/>
      <c r="L13" s="3"/>
      <c r="M13" s="3"/>
      <c r="N13" s="3"/>
      <c r="O13" s="3"/>
      <c r="P13" s="3"/>
      <c r="Q13" s="3"/>
      <c r="R13" s="3"/>
    </row>
    <row r="14" spans="1:18" s="36" customFormat="1" ht="15.75" x14ac:dyDescent="0.25">
      <c r="A14" s="38" t="s">
        <v>168</v>
      </c>
      <c r="B14" s="41" t="s">
        <v>482</v>
      </c>
      <c r="C14" s="267" t="s">
        <v>487</v>
      </c>
      <c r="D14" s="290">
        <v>0</v>
      </c>
      <c r="E14" s="36" t="s">
        <v>127</v>
      </c>
      <c r="K14" s="98"/>
      <c r="L14" s="3"/>
      <c r="M14" s="3"/>
      <c r="N14" s="3"/>
      <c r="O14" s="3"/>
      <c r="P14" s="3"/>
      <c r="Q14" s="3"/>
      <c r="R14" s="3"/>
    </row>
    <row r="15" spans="1:18" s="36" customFormat="1" ht="15.75" x14ac:dyDescent="0.25">
      <c r="A15" s="38" t="s">
        <v>169</v>
      </c>
      <c r="B15" s="264" t="s">
        <v>483</v>
      </c>
      <c r="C15" s="267" t="s">
        <v>488</v>
      </c>
      <c r="D15" s="290">
        <v>0</v>
      </c>
      <c r="E15" s="36" t="s">
        <v>127</v>
      </c>
      <c r="K15" s="116"/>
      <c r="L15" s="3"/>
      <c r="M15" s="3"/>
      <c r="N15" s="3"/>
      <c r="O15" s="3"/>
      <c r="P15" s="3"/>
      <c r="Q15" s="3"/>
      <c r="R15" s="3"/>
    </row>
    <row r="16" spans="1:18" s="36" customFormat="1" ht="15.75" x14ac:dyDescent="0.25">
      <c r="A16" s="112" t="s">
        <v>170</v>
      </c>
      <c r="B16" s="264" t="s">
        <v>486</v>
      </c>
      <c r="C16" s="267" t="s">
        <v>490</v>
      </c>
      <c r="D16" s="290">
        <v>0</v>
      </c>
      <c r="E16" s="36" t="s">
        <v>127</v>
      </c>
      <c r="K16" s="98"/>
      <c r="L16" s="3"/>
      <c r="M16" s="3"/>
      <c r="N16" s="3"/>
      <c r="O16" s="3"/>
      <c r="P16" s="3"/>
      <c r="Q16" s="3"/>
      <c r="R16" s="3"/>
    </row>
    <row r="17" spans="1:18" s="36" customFormat="1" ht="16.5" thickBot="1" x14ac:dyDescent="0.3">
      <c r="A17" s="101" t="s">
        <v>171</v>
      </c>
      <c r="B17" s="268"/>
      <c r="C17" s="269" t="s">
        <v>489</v>
      </c>
      <c r="D17" s="293">
        <v>0</v>
      </c>
      <c r="E17" s="9" t="s">
        <v>127</v>
      </c>
      <c r="K17" s="3"/>
      <c r="L17" s="98"/>
      <c r="M17" s="3"/>
      <c r="N17" s="3"/>
      <c r="O17" s="3"/>
      <c r="P17" s="3"/>
      <c r="Q17" s="3"/>
      <c r="R17" s="3"/>
    </row>
    <row r="18" spans="1:18" s="36" customFormat="1" ht="18" x14ac:dyDescent="0.35">
      <c r="A18" s="112" t="s">
        <v>148</v>
      </c>
      <c r="B18" s="270"/>
      <c r="C18" s="20"/>
      <c r="D18" s="290">
        <v>0</v>
      </c>
      <c r="E18" s="36" t="s">
        <v>75</v>
      </c>
      <c r="K18" s="98"/>
      <c r="L18" s="99"/>
      <c r="M18" s="3"/>
      <c r="N18" s="3"/>
      <c r="O18" s="3"/>
      <c r="P18" s="3"/>
      <c r="Q18" s="3"/>
      <c r="R18" s="3"/>
    </row>
    <row r="19" spans="1:18" s="36" customFormat="1" ht="18" x14ac:dyDescent="0.35">
      <c r="A19" s="113" t="s">
        <v>149</v>
      </c>
      <c r="B19" s="271"/>
      <c r="C19" s="273"/>
      <c r="D19" s="291">
        <v>0</v>
      </c>
      <c r="E19" s="75" t="s">
        <v>81</v>
      </c>
      <c r="K19" s="98"/>
      <c r="L19" s="99"/>
      <c r="M19" s="3"/>
      <c r="N19" s="3"/>
      <c r="O19" s="3"/>
      <c r="P19" s="3"/>
      <c r="Q19" s="3"/>
      <c r="R19" s="3"/>
    </row>
    <row r="20" spans="1:18" s="36" customFormat="1" ht="18.75" x14ac:dyDescent="0.35">
      <c r="A20" s="114" t="s">
        <v>140</v>
      </c>
      <c r="B20" s="272"/>
      <c r="C20" s="284"/>
      <c r="D20" s="294">
        <v>0</v>
      </c>
      <c r="E20" s="36" t="s">
        <v>128</v>
      </c>
      <c r="K20" s="117"/>
      <c r="L20" s="99"/>
      <c r="M20" s="3"/>
      <c r="N20" s="3"/>
      <c r="O20" s="3"/>
      <c r="P20" s="3"/>
      <c r="Q20" s="3"/>
      <c r="R20" s="3"/>
    </row>
    <row r="21" spans="1:18" s="36" customFormat="1" ht="18.75" x14ac:dyDescent="0.35">
      <c r="A21" s="282" t="s">
        <v>141</v>
      </c>
      <c r="B21" s="283"/>
      <c r="C21" s="274"/>
      <c r="D21" s="294">
        <v>0</v>
      </c>
      <c r="E21" s="36" t="s">
        <v>130</v>
      </c>
      <c r="K21" s="117"/>
      <c r="L21" s="99"/>
      <c r="M21" s="3"/>
      <c r="N21" s="3"/>
      <c r="O21" s="3"/>
      <c r="P21" s="3"/>
      <c r="Q21" s="3"/>
      <c r="R21" s="3"/>
    </row>
    <row r="22" spans="1:18" x14ac:dyDescent="0.25">
      <c r="C22" t="s">
        <v>285</v>
      </c>
    </row>
    <row r="24" spans="1:18" ht="18.75" x14ac:dyDescent="0.3">
      <c r="A24" s="120" t="s">
        <v>432</v>
      </c>
    </row>
    <row r="25" spans="1:18" s="36" customFormat="1" ht="19.5" thickBot="1" x14ac:dyDescent="0.35">
      <c r="A25" s="120"/>
      <c r="B25" s="45" t="s">
        <v>409</v>
      </c>
    </row>
    <row r="26" spans="1:18" ht="18.75" thickBot="1" x14ac:dyDescent="0.4">
      <c r="A26" s="113" t="s">
        <v>249</v>
      </c>
      <c r="B26" s="76" t="s">
        <v>139</v>
      </c>
      <c r="C26" s="45"/>
      <c r="D26" s="32" t="s">
        <v>250</v>
      </c>
      <c r="E26" s="36"/>
      <c r="F26" s="36"/>
      <c r="G26" s="36"/>
      <c r="I26" s="16" t="s">
        <v>377</v>
      </c>
    </row>
    <row r="27" spans="1:18" x14ac:dyDescent="0.25">
      <c r="A27" s="38" t="s">
        <v>347</v>
      </c>
      <c r="B27" s="41" t="s">
        <v>482</v>
      </c>
      <c r="C27" s="133"/>
      <c r="D27" s="290">
        <v>0</v>
      </c>
      <c r="E27" s="36" t="s">
        <v>127</v>
      </c>
      <c r="F27" s="36"/>
      <c r="G27" s="36"/>
      <c r="I27">
        <v>0.06</v>
      </c>
    </row>
    <row r="28" spans="1:18" x14ac:dyDescent="0.25">
      <c r="A28" s="38" t="s">
        <v>305</v>
      </c>
      <c r="B28" s="264" t="s">
        <v>483</v>
      </c>
      <c r="C28" s="133"/>
      <c r="D28" s="290">
        <v>0</v>
      </c>
      <c r="E28" s="36" t="s">
        <v>127</v>
      </c>
      <c r="F28" s="36"/>
      <c r="G28" s="36"/>
      <c r="I28">
        <v>0</v>
      </c>
    </row>
    <row r="29" spans="1:18" x14ac:dyDescent="0.25">
      <c r="A29" s="135" t="s">
        <v>249</v>
      </c>
      <c r="B29" s="264" t="s">
        <v>493</v>
      </c>
      <c r="C29" s="133"/>
      <c r="D29" s="290">
        <v>0</v>
      </c>
      <c r="E29" s="36" t="s">
        <v>127</v>
      </c>
      <c r="F29" s="36"/>
      <c r="G29" s="36"/>
    </row>
    <row r="30" spans="1:18" ht="15.75" thickBot="1" x14ac:dyDescent="0.3">
      <c r="A30" s="101" t="s">
        <v>306</v>
      </c>
      <c r="B30" s="268"/>
      <c r="C30" s="134"/>
      <c r="D30" s="293">
        <v>0</v>
      </c>
      <c r="E30" s="9" t="s">
        <v>127</v>
      </c>
      <c r="F30" s="36"/>
      <c r="G30" s="36"/>
      <c r="I30" t="s">
        <v>307</v>
      </c>
    </row>
    <row r="32" spans="1:18" ht="18.75" x14ac:dyDescent="0.3">
      <c r="A32" s="120" t="s">
        <v>433</v>
      </c>
      <c r="B32" s="36"/>
      <c r="C32" s="36"/>
      <c r="D32" s="36"/>
      <c r="E32" s="36"/>
      <c r="F32" s="36"/>
      <c r="G32" s="36"/>
      <c r="H32" s="36"/>
      <c r="I32" s="36"/>
    </row>
    <row r="33" spans="1:9" s="36" customFormat="1" ht="19.5" thickBot="1" x14ac:dyDescent="0.35">
      <c r="A33" s="120"/>
      <c r="B33" s="45" t="s">
        <v>409</v>
      </c>
    </row>
    <row r="34" spans="1:9" ht="15.75" thickBot="1" x14ac:dyDescent="0.3">
      <c r="A34" s="113" t="s">
        <v>249</v>
      </c>
      <c r="B34" s="76" t="s">
        <v>139</v>
      </c>
      <c r="C34" s="45"/>
      <c r="D34" s="32" t="s">
        <v>250</v>
      </c>
      <c r="E34" s="36"/>
      <c r="F34" s="36"/>
      <c r="G34" s="36"/>
      <c r="H34" s="36"/>
      <c r="I34" s="36"/>
    </row>
    <row r="35" spans="1:9" x14ac:dyDescent="0.25">
      <c r="A35" s="38" t="s">
        <v>304</v>
      </c>
      <c r="B35" s="41" t="s">
        <v>482</v>
      </c>
      <c r="C35" s="133"/>
      <c r="D35" s="290">
        <v>1</v>
      </c>
      <c r="E35" s="36" t="s">
        <v>127</v>
      </c>
      <c r="F35" s="36"/>
      <c r="G35" s="36"/>
      <c r="H35" s="36"/>
      <c r="I35" s="36"/>
    </row>
    <row r="36" spans="1:9" x14ac:dyDescent="0.25">
      <c r="A36" s="38" t="s">
        <v>305</v>
      </c>
      <c r="B36" s="264" t="s">
        <v>483</v>
      </c>
      <c r="C36" s="133"/>
      <c r="D36" s="290">
        <v>1</v>
      </c>
      <c r="E36" s="36" t="s">
        <v>127</v>
      </c>
      <c r="F36" s="36"/>
      <c r="G36" s="36"/>
      <c r="H36" s="36"/>
      <c r="I36" s="36"/>
    </row>
    <row r="37" spans="1:9" x14ac:dyDescent="0.25">
      <c r="A37" s="135" t="s">
        <v>319</v>
      </c>
      <c r="B37" s="264" t="s">
        <v>494</v>
      </c>
      <c r="C37" s="133"/>
      <c r="D37" s="290">
        <v>1</v>
      </c>
      <c r="E37" s="36" t="s">
        <v>127</v>
      </c>
      <c r="F37" s="36"/>
      <c r="G37" s="36"/>
      <c r="H37" s="36"/>
      <c r="I37" s="36"/>
    </row>
    <row r="38" spans="1:9" ht="15.75" thickBot="1" x14ac:dyDescent="0.3">
      <c r="A38" s="101" t="s">
        <v>306</v>
      </c>
      <c r="B38" s="73" t="s">
        <v>317</v>
      </c>
      <c r="C38" s="134"/>
      <c r="D38" s="73" t="s">
        <v>316</v>
      </c>
      <c r="E38" s="9" t="s">
        <v>127</v>
      </c>
      <c r="F38" s="36"/>
      <c r="G38" s="36"/>
      <c r="H38" s="36"/>
      <c r="I38" s="36" t="s">
        <v>318</v>
      </c>
    </row>
  </sheetData>
  <sheetProtection algorithmName="SHA-512" hashValue="EcSW/M6jGVAB8/LskTzRtBTVoYepiu2kKTcEpfPOTZcW7WIJNuxRcH/4UBKaVurjOftxhnANb+jc+Nr8EXvI0A==" saltValue="sY+MmxngfJyUgwqTsi9Vg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91"/>
  <sheetViews>
    <sheetView tabSelected="1" topLeftCell="A3" zoomScaleNormal="100" workbookViewId="0">
      <pane xSplit="7725" ySplit="7275" topLeftCell="D41" activePane="topRight"/>
      <selection activeCell="B18" sqref="B18"/>
      <selection pane="topRight" activeCell="K17" sqref="K17"/>
      <selection pane="bottomLeft" activeCell="A43" sqref="A43"/>
      <selection pane="bottomRight" activeCell="D41" sqref="D41"/>
    </sheetView>
  </sheetViews>
  <sheetFormatPr defaultColWidth="9.140625" defaultRowHeight="15" x14ac:dyDescent="0.25"/>
  <cols>
    <col min="1" max="1" width="23.28515625" style="140" customWidth="1"/>
    <col min="2" max="2" width="23.28515625" style="233" customWidth="1"/>
    <col min="3" max="3" width="23.28515625" style="140" customWidth="1"/>
    <col min="4" max="4" width="11.7109375" style="140" customWidth="1"/>
    <col min="5" max="5" width="12.7109375" style="140" customWidth="1"/>
    <col min="6" max="6" width="9.85546875" style="142" customWidth="1"/>
    <col min="7" max="7" width="10.5703125" style="140" bestFit="1" customWidth="1"/>
    <col min="8" max="8" width="9.140625" style="140"/>
    <col min="9" max="9" width="12.42578125" style="140" customWidth="1"/>
    <col min="10" max="10" width="8" style="140" customWidth="1"/>
    <col min="11" max="11" width="12.140625" style="140" customWidth="1"/>
    <col min="12" max="12" width="12.85546875" style="140" customWidth="1"/>
    <col min="13" max="13" width="18.28515625" style="140" customWidth="1"/>
    <col min="14" max="14" width="19" style="140" customWidth="1"/>
    <col min="15" max="15" width="11.5703125" style="140" customWidth="1"/>
    <col min="16" max="16" width="10.5703125" style="140" customWidth="1"/>
    <col min="17" max="17" width="8.85546875" style="140" customWidth="1"/>
    <col min="18" max="18" width="9.140625" style="140"/>
    <col min="19" max="19" width="12" style="140" bestFit="1" customWidth="1"/>
    <col min="20" max="20" width="12.7109375" style="140" bestFit="1" customWidth="1"/>
    <col min="21" max="16384" width="9.140625" style="140"/>
  </cols>
  <sheetData>
    <row r="1" spans="1:30" ht="18.75" x14ac:dyDescent="0.35">
      <c r="A1" s="180" t="s">
        <v>391</v>
      </c>
      <c r="B1" s="235" t="s">
        <v>392</v>
      </c>
      <c r="C1" s="141" t="s">
        <v>142</v>
      </c>
      <c r="N1" s="140" t="s">
        <v>468</v>
      </c>
      <c r="O1" s="140" t="s">
        <v>465</v>
      </c>
      <c r="P1" s="140" t="s">
        <v>466</v>
      </c>
      <c r="R1" s="140" t="s">
        <v>467</v>
      </c>
      <c r="S1" s="140" t="s">
        <v>465</v>
      </c>
      <c r="T1" s="140" t="s">
        <v>466</v>
      </c>
    </row>
    <row r="2" spans="1:30" ht="18.75" x14ac:dyDescent="0.35">
      <c r="A2" s="179" t="s">
        <v>402</v>
      </c>
      <c r="C2" s="143" t="s">
        <v>390</v>
      </c>
      <c r="D2" s="144"/>
      <c r="G2" s="145" t="s">
        <v>110</v>
      </c>
      <c r="H2" s="145"/>
      <c r="J2" s="146" t="s">
        <v>214</v>
      </c>
      <c r="K2" s="146"/>
      <c r="L2" s="146"/>
      <c r="N2" s="147" t="s">
        <v>463</v>
      </c>
      <c r="O2" s="140">
        <f>I4</f>
        <v>-3.0846520296784737E-5</v>
      </c>
      <c r="P2" s="141">
        <f>SLOPE(I10:I45,F10:F45)</f>
        <v>1.9354661418397318E-20</v>
      </c>
      <c r="Q2" s="148">
        <f>P4+P5</f>
        <v>-4.1625773283878467E-6</v>
      </c>
      <c r="R2" s="147" t="s">
        <v>463</v>
      </c>
      <c r="S2" s="140">
        <f>I5</f>
        <v>-0.40482292081688304</v>
      </c>
      <c r="T2" s="141">
        <f>INTERCEPT(I10:I45,F10:F45)</f>
        <v>-0.40482292081688281</v>
      </c>
      <c r="U2" s="148"/>
    </row>
    <row r="3" spans="1:30" x14ac:dyDescent="0.25">
      <c r="A3" s="263" t="s">
        <v>411</v>
      </c>
      <c r="B3" s="241"/>
      <c r="C3" s="150" t="s">
        <v>147</v>
      </c>
      <c r="D3" s="150"/>
      <c r="E3" s="150"/>
      <c r="F3" s="151"/>
      <c r="G3" s="152" t="s">
        <v>111</v>
      </c>
      <c r="H3" s="152"/>
      <c r="I3" s="152"/>
      <c r="J3" s="152"/>
      <c r="K3" s="153"/>
      <c r="N3" s="140" t="s">
        <v>464</v>
      </c>
      <c r="O3" s="141">
        <f>SLOPE(G10:G45,O10:O45)</f>
        <v>-1.1022602833710423E-4</v>
      </c>
      <c r="P3" s="289">
        <f>SLOPE(I10:I45,O10:O45)</f>
        <v>-1.1038402822242429E-4</v>
      </c>
      <c r="Q3" s="141">
        <f>(O4-O5)/2</f>
        <v>-1.08709872095913E-4</v>
      </c>
      <c r="R3" s="140" t="s">
        <v>464</v>
      </c>
      <c r="S3" s="141">
        <f>INTERCEPT(G10:G45,O10:O45)</f>
        <v>-0.41028616540696594</v>
      </c>
      <c r="T3" s="140">
        <f>INTERCEPT(I10:I45,O10:O45)</f>
        <v>-0.41029847942209147</v>
      </c>
      <c r="U3" s="141"/>
    </row>
    <row r="4" spans="1:30" ht="17.25" x14ac:dyDescent="0.25">
      <c r="A4" s="262" t="s">
        <v>403</v>
      </c>
      <c r="B4" s="234"/>
      <c r="D4" s="154"/>
      <c r="E4" s="154"/>
      <c r="F4" s="155"/>
      <c r="G4" s="154"/>
      <c r="H4" s="244" t="s">
        <v>89</v>
      </c>
      <c r="I4" s="245">
        <f>SLOPE(G10:G45,F10:F45)</f>
        <v>-3.0846520296784737E-5</v>
      </c>
      <c r="N4" s="140" t="s">
        <v>469</v>
      </c>
      <c r="O4" s="140">
        <f>SLOPE(G50:G55,F50:F55)</f>
        <v>-1.4163768105689167E-4</v>
      </c>
      <c r="P4" s="140">
        <f>SLOPE(I50:I55,F50:F55)</f>
        <v>-1.1079116076010675E-4</v>
      </c>
      <c r="W4" s="157"/>
      <c r="X4" s="158"/>
    </row>
    <row r="5" spans="1:30" ht="18" x14ac:dyDescent="0.35">
      <c r="A5" s="260" t="s">
        <v>240</v>
      </c>
      <c r="B5" s="261" t="s">
        <v>242</v>
      </c>
      <c r="D5" s="154"/>
      <c r="E5" s="154"/>
      <c r="F5" s="248" t="s">
        <v>254</v>
      </c>
      <c r="G5" s="249"/>
      <c r="H5" s="244" t="s">
        <v>90</v>
      </c>
      <c r="I5" s="245">
        <f>INTERCEPT(G10:G45,F10:F45)</f>
        <v>-0.40482292081688304</v>
      </c>
      <c r="K5" s="247" t="s">
        <v>254</v>
      </c>
      <c r="L5" s="247"/>
      <c r="M5" s="247"/>
      <c r="N5" s="140" t="s">
        <v>470</v>
      </c>
      <c r="O5" s="140">
        <f>SLOPE(G10:G15,F10:F15)</f>
        <v>7.5782063134934347E-5</v>
      </c>
      <c r="P5" s="140">
        <f>SLOPE(I10:I15,F10:F15)</f>
        <v>1.0662858343171891E-4</v>
      </c>
    </row>
    <row r="6" spans="1:30" ht="18.75" x14ac:dyDescent="0.35">
      <c r="A6" s="214" t="s">
        <v>499</v>
      </c>
      <c r="B6" s="286" t="s">
        <v>502</v>
      </c>
      <c r="D6" s="159" t="s">
        <v>253</v>
      </c>
      <c r="E6" s="141" t="s">
        <v>248</v>
      </c>
      <c r="F6" s="160" t="str">
        <f>'full model'!BZ18</f>
        <v>δ47</v>
      </c>
      <c r="G6" s="161" t="str">
        <f>'full model'!BY18</f>
        <v>Δ47 vs. ref</v>
      </c>
      <c r="H6" s="244" t="s">
        <v>213</v>
      </c>
      <c r="I6" s="244" t="s">
        <v>374</v>
      </c>
      <c r="J6" s="149"/>
      <c r="K6" s="182" t="s">
        <v>125</v>
      </c>
      <c r="L6" s="182" t="s">
        <v>126</v>
      </c>
      <c r="M6" s="182" t="s">
        <v>145</v>
      </c>
      <c r="N6" s="246" t="s">
        <v>255</v>
      </c>
      <c r="O6" s="246" t="s">
        <v>207</v>
      </c>
    </row>
    <row r="7" spans="1:30" x14ac:dyDescent="0.25">
      <c r="A7" s="215">
        <v>2.0052E-3</v>
      </c>
      <c r="B7" s="287">
        <v>2.0052E-3</v>
      </c>
      <c r="C7" s="180" t="s">
        <v>256</v>
      </c>
      <c r="D7" s="184">
        <f>A16</f>
        <v>0</v>
      </c>
      <c r="E7" s="184">
        <f>A17</f>
        <v>0</v>
      </c>
      <c r="F7" s="186">
        <f>'full model'!BZ19</f>
        <v>0</v>
      </c>
      <c r="G7" s="186">
        <f>'full model'!BY19</f>
        <v>0</v>
      </c>
      <c r="H7" s="187"/>
      <c r="I7" s="188"/>
      <c r="J7" s="149"/>
      <c r="K7" s="208">
        <f>'full model'!CA19</f>
        <v>0</v>
      </c>
      <c r="L7" s="208">
        <f>'full model'!CB19</f>
        <v>0</v>
      </c>
      <c r="M7" s="208">
        <f>'full model'!CC19</f>
        <v>0</v>
      </c>
      <c r="N7" s="190">
        <f>K7-D7</f>
        <v>0</v>
      </c>
      <c r="O7" s="190">
        <f>K7-L7</f>
        <v>0</v>
      </c>
    </row>
    <row r="8" spans="1:30" x14ac:dyDescent="0.25">
      <c r="A8" s="216">
        <v>1.1180280000000001E-2</v>
      </c>
      <c r="B8" s="288">
        <v>1.1180280000000001E-2</v>
      </c>
      <c r="C8" s="241" t="s">
        <v>251</v>
      </c>
      <c r="D8" s="162">
        <v>-50</v>
      </c>
      <c r="E8" s="162">
        <v>50</v>
      </c>
      <c r="F8" s="191">
        <f>'full model'!BZ20</f>
        <v>-0.24152610541328112</v>
      </c>
      <c r="G8" s="191">
        <f>'full model'!BY20</f>
        <v>-0.39916272344553416</v>
      </c>
      <c r="H8" s="192">
        <f>I$4*F8+I$5</f>
        <v>-0.4048154705769702</v>
      </c>
      <c r="I8" s="193">
        <f>G8-I$4*F8</f>
        <v>-0.39917017368544699</v>
      </c>
      <c r="J8" s="163"/>
      <c r="K8" s="280">
        <f>'full model'!CA20</f>
        <v>-50.0239645802707</v>
      </c>
      <c r="L8" s="280">
        <f>'full model'!CB20</f>
        <v>50.010992935672903</v>
      </c>
      <c r="M8" s="280">
        <f>'full model'!CC20</f>
        <v>26.101566489291848</v>
      </c>
      <c r="N8" s="194">
        <f>K8-D8</f>
        <v>-2.3964580270700253E-2</v>
      </c>
      <c r="O8" s="195">
        <f t="shared" ref="O8:O45" si="0">K8-L8</f>
        <v>-100.0349575159436</v>
      </c>
    </row>
    <row r="9" spans="1:30" x14ac:dyDescent="0.25">
      <c r="A9" s="216">
        <v>0.52800000000000002</v>
      </c>
      <c r="B9" s="216">
        <v>0.52800000000000002</v>
      </c>
      <c r="C9" s="234" t="s">
        <v>252</v>
      </c>
      <c r="D9" s="185">
        <f>D8</f>
        <v>-50</v>
      </c>
      <c r="E9" s="185">
        <f>E8</f>
        <v>50</v>
      </c>
      <c r="F9" s="196">
        <f>'full model'!BZ21</f>
        <v>-0.24152610541328112</v>
      </c>
      <c r="G9" s="197">
        <f>'full model'!BY21</f>
        <v>-0.39916272344553416</v>
      </c>
      <c r="H9" s="198">
        <f>I$4*F9+I$5</f>
        <v>-0.4048154705769702</v>
      </c>
      <c r="I9" s="199">
        <f t="shared" ref="I9:I45" si="1">G9-I$4*F9</f>
        <v>-0.39917017368544699</v>
      </c>
      <c r="J9" s="164"/>
      <c r="K9" s="281">
        <f>'full model'!CA21</f>
        <v>-50.0239645802707</v>
      </c>
      <c r="L9" s="281">
        <f>'full model'!CB21</f>
        <v>50.010992935672903</v>
      </c>
      <c r="M9" s="281">
        <f>'full model'!CC21</f>
        <v>26.101566489291848</v>
      </c>
      <c r="N9" s="200">
        <f t="shared" ref="N9:N45" si="2">K9-D9</f>
        <v>-2.3964580270700253E-2</v>
      </c>
      <c r="O9" s="200">
        <f t="shared" si="0"/>
        <v>-100.0349575159436</v>
      </c>
    </row>
    <row r="10" spans="1:30" x14ac:dyDescent="0.25">
      <c r="A10" s="216">
        <v>1.022461E-2</v>
      </c>
      <c r="B10" s="288">
        <v>1.027689E-2</v>
      </c>
      <c r="C10" s="242" t="s">
        <v>257</v>
      </c>
      <c r="D10" s="165">
        <v>0</v>
      </c>
      <c r="E10" s="166">
        <v>0</v>
      </c>
      <c r="F10" s="201">
        <f>'full model'!BZ22</f>
        <v>-0.39967691698483687</v>
      </c>
      <c r="G10" s="202">
        <f>'full model'!BY22</f>
        <v>-0.41020776750799737</v>
      </c>
      <c r="H10" s="203">
        <f t="shared" ref="H10:H45" si="3">I$4*F10+I$5</f>
        <v>-0.40481059217475113</v>
      </c>
      <c r="I10" s="204">
        <f t="shared" si="1"/>
        <v>-0.41022009615012928</v>
      </c>
      <c r="J10" s="164"/>
      <c r="K10" s="208">
        <f>'full model'!CA22</f>
        <v>1.3184104492580673E-3</v>
      </c>
      <c r="L10" s="208">
        <f>'full model'!CB22</f>
        <v>9.1001700663895235E-3</v>
      </c>
      <c r="M10" s="208">
        <f>'full model'!CC22</f>
        <v>4.8048794756283542E-3</v>
      </c>
      <c r="N10" s="190">
        <f t="shared" si="2"/>
        <v>1.3184104492580673E-3</v>
      </c>
      <c r="O10" s="190">
        <f t="shared" si="0"/>
        <v>-7.7817596171314563E-3</v>
      </c>
      <c r="P10" s="167"/>
    </row>
    <row r="11" spans="1:30" ht="17.25" x14ac:dyDescent="0.25">
      <c r="A11" s="275" t="s">
        <v>435</v>
      </c>
      <c r="B11" s="235"/>
      <c r="C11" s="243" t="s">
        <v>258</v>
      </c>
      <c r="D11" s="165">
        <v>0</v>
      </c>
      <c r="E11" s="166">
        <v>10</v>
      </c>
      <c r="F11" s="201">
        <f>'full model'!BZ23</f>
        <v>9.7732697658741152</v>
      </c>
      <c r="G11" s="202">
        <f>'full model'!BY23</f>
        <v>-0.40942961164569525</v>
      </c>
      <c r="H11" s="203">
        <f t="shared" si="3"/>
        <v>-0.40512439218108204</v>
      </c>
      <c r="I11" s="204">
        <f t="shared" si="1"/>
        <v>-0.40912814028149624</v>
      </c>
      <c r="J11" s="164"/>
      <c r="K11" s="208">
        <f>'full model'!CA23</f>
        <v>-4.3936229121577242E-4</v>
      </c>
      <c r="L11" s="208">
        <f>'full model'!CB23</f>
        <v>10.009244801122419</v>
      </c>
      <c r="M11" s="208">
        <f>'full model'!CC23</f>
        <v>5.272458338904995</v>
      </c>
      <c r="N11" s="190">
        <f t="shared" si="2"/>
        <v>-4.3936229121577242E-4</v>
      </c>
      <c r="O11" s="190">
        <f t="shared" si="0"/>
        <v>-10.009684163413635</v>
      </c>
      <c r="P11" s="167"/>
    </row>
    <row r="12" spans="1:30" x14ac:dyDescent="0.25">
      <c r="A12" s="228">
        <f>A10*A7^A9</f>
        <v>3.8475654393587772E-4</v>
      </c>
      <c r="B12" s="229">
        <f>B10*B7^B9</f>
        <v>3.867238631898119E-4</v>
      </c>
      <c r="C12" s="168"/>
      <c r="D12" s="165">
        <v>0</v>
      </c>
      <c r="E12" s="166">
        <v>15</v>
      </c>
      <c r="F12" s="201">
        <f>'full model'!BZ24</f>
        <v>14.860745353233673</v>
      </c>
      <c r="G12" s="202">
        <f>'full model'!BY24</f>
        <v>-0.40904176740419462</v>
      </c>
      <c r="H12" s="203">
        <f t="shared" si="3"/>
        <v>-0.40528132310004689</v>
      </c>
      <c r="I12" s="204">
        <f t="shared" si="1"/>
        <v>-0.40858336512103077</v>
      </c>
      <c r="J12" s="164"/>
      <c r="K12" s="208">
        <f>'full model'!CA24</f>
        <v>-1.3152061145715876E-3</v>
      </c>
      <c r="L12" s="208">
        <f>'full model'!CB24</f>
        <v>15.009317217041573</v>
      </c>
      <c r="M12" s="208">
        <f>'full model'!CC24</f>
        <v>7.897052687533046</v>
      </c>
      <c r="N12" s="190">
        <f t="shared" si="2"/>
        <v>-1.3152061145715876E-3</v>
      </c>
      <c r="O12" s="190">
        <f t="shared" si="0"/>
        <v>-15.010632423156146</v>
      </c>
      <c r="P12" s="167"/>
      <c r="T12" s="169"/>
      <c r="U12" s="169"/>
      <c r="V12" s="169"/>
      <c r="W12" s="169"/>
      <c r="X12" s="169"/>
      <c r="Y12" s="169"/>
      <c r="Z12" s="169"/>
      <c r="AA12" s="169"/>
      <c r="AB12" s="169"/>
      <c r="AC12" s="169"/>
      <c r="AD12" s="169"/>
    </row>
    <row r="13" spans="1:30" x14ac:dyDescent="0.25">
      <c r="A13" s="231">
        <f>1/(1+A7+A12)</f>
        <v>0.99761574172971967</v>
      </c>
      <c r="B13" s="232">
        <f>1/(1+B7+B12)</f>
        <v>0.99761378378431931</v>
      </c>
      <c r="C13" s="147" t="s">
        <v>439</v>
      </c>
      <c r="D13" s="165">
        <v>0</v>
      </c>
      <c r="E13" s="166">
        <v>20</v>
      </c>
      <c r="F13" s="201">
        <f>'full model'!BZ25</f>
        <v>19.948887028093274</v>
      </c>
      <c r="G13" s="202">
        <f>'full model'!BY25</f>
        <v>-0.40865473897111482</v>
      </c>
      <c r="H13" s="203">
        <f t="shared" si="3"/>
        <v>-0.40543827456549336</v>
      </c>
      <c r="I13" s="204">
        <f t="shared" si="1"/>
        <v>-0.40803938522250449</v>
      </c>
      <c r="J13" s="163"/>
      <c r="K13" s="208">
        <f>'full model'!CA25</f>
        <v>-2.1890411757707895E-3</v>
      </c>
      <c r="L13" s="208">
        <f>'full model'!CB25</f>
        <v>20.009389699218616</v>
      </c>
      <c r="M13" s="208">
        <f>'full model'!CC25</f>
        <v>10.515551592050087</v>
      </c>
      <c r="N13" s="190">
        <f t="shared" si="2"/>
        <v>-2.1890411757707895E-3</v>
      </c>
      <c r="O13" s="190">
        <f t="shared" si="0"/>
        <v>-20.011578740394388</v>
      </c>
      <c r="P13" s="167"/>
      <c r="T13" s="170"/>
      <c r="U13" s="170"/>
      <c r="V13" s="170"/>
      <c r="W13" s="170"/>
      <c r="X13" s="170"/>
      <c r="Y13" s="170"/>
      <c r="Z13" s="170"/>
      <c r="AA13" s="170"/>
      <c r="AB13" s="170"/>
      <c r="AC13" s="170"/>
      <c r="AD13" s="170"/>
    </row>
    <row r="14" spans="1:30" x14ac:dyDescent="0.25">
      <c r="A14" s="250">
        <f>1/(1+A8)</f>
        <v>0.98894333659275868</v>
      </c>
      <c r="B14" s="251">
        <f>1/(1+B8)</f>
        <v>0.98894333659275868</v>
      </c>
      <c r="C14" s="142">
        <f>MIN(G10:G45)</f>
        <v>-0.41020776750799737</v>
      </c>
      <c r="D14" s="165">
        <v>0</v>
      </c>
      <c r="E14" s="166">
        <v>40</v>
      </c>
      <c r="F14" s="201">
        <f>'full model'!BZ26</f>
        <v>40.30808390285312</v>
      </c>
      <c r="G14" s="202">
        <f>'full model'!BY26</f>
        <v>-0.40711468543874751</v>
      </c>
      <c r="H14" s="203">
        <f t="shared" si="3"/>
        <v>-0.40606628494511687</v>
      </c>
      <c r="I14" s="204">
        <f t="shared" si="1"/>
        <v>-0.40587132131051368</v>
      </c>
      <c r="J14" s="163"/>
      <c r="K14" s="208">
        <f>'full model'!CA26</f>
        <v>-5.6645808128585884E-3</v>
      </c>
      <c r="L14" s="208">
        <f>'full model'!CB26</f>
        <v>40.009680280663318</v>
      </c>
      <c r="M14" s="208">
        <f>'full model'!CC26</f>
        <v>20.929463531017323</v>
      </c>
      <c r="N14" s="190">
        <f t="shared" si="2"/>
        <v>-5.6645808128585884E-3</v>
      </c>
      <c r="O14" s="190">
        <f t="shared" si="0"/>
        <v>-40.01534486147618</v>
      </c>
      <c r="P14" s="167"/>
      <c r="T14" s="170"/>
      <c r="U14" s="170"/>
      <c r="V14" s="170"/>
      <c r="W14" s="170"/>
      <c r="X14" s="170"/>
      <c r="Y14" s="170"/>
      <c r="Z14" s="170"/>
      <c r="AA14" s="170"/>
      <c r="AB14" s="170"/>
      <c r="AC14" s="170"/>
      <c r="AD14" s="170"/>
    </row>
    <row r="15" spans="1:30" x14ac:dyDescent="0.25">
      <c r="A15" s="181" t="s">
        <v>404</v>
      </c>
      <c r="B15" s="236" t="s">
        <v>405</v>
      </c>
      <c r="C15" s="142">
        <f>MAX(G10:G45)</f>
        <v>-0.39916272344553416</v>
      </c>
      <c r="D15" s="165">
        <v>0</v>
      </c>
      <c r="E15" s="166">
        <v>50</v>
      </c>
      <c r="F15" s="201">
        <f>'full model'!BZ27</f>
        <v>50.491639261183387</v>
      </c>
      <c r="G15" s="202">
        <f>'full model'!BY27</f>
        <v>-0.40634942761041959</v>
      </c>
      <c r="H15" s="203">
        <f t="shared" si="3"/>
        <v>-0.40638041219217108</v>
      </c>
      <c r="I15" s="204">
        <f t="shared" si="1"/>
        <v>-0.40479193623513154</v>
      </c>
      <c r="J15" s="163"/>
      <c r="K15" s="208">
        <f>'full model'!CA27</f>
        <v>-7.3906663972111986E-3</v>
      </c>
      <c r="L15" s="208">
        <f>'full model'!CB27</f>
        <v>50.009825956316419</v>
      </c>
      <c r="M15" s="208">
        <f>'full model'!CC27</f>
        <v>26.100964354509813</v>
      </c>
      <c r="N15" s="190">
        <f t="shared" si="2"/>
        <v>-7.3906663972111986E-3</v>
      </c>
      <c r="O15" s="190">
        <f t="shared" si="0"/>
        <v>-50.017216622713633</v>
      </c>
      <c r="P15" s="167"/>
      <c r="Z15" s="170"/>
      <c r="AB15" s="170"/>
      <c r="AC15" s="170"/>
      <c r="AD15" s="170"/>
    </row>
    <row r="16" spans="1:30" x14ac:dyDescent="0.25">
      <c r="A16" s="143">
        <v>0</v>
      </c>
      <c r="B16" s="256">
        <v>0</v>
      </c>
      <c r="C16" s="142">
        <f>C15-C14</f>
        <v>1.1045044062463205E-2</v>
      </c>
      <c r="D16" s="165">
        <v>-10</v>
      </c>
      <c r="E16" s="166">
        <v>50</v>
      </c>
      <c r="F16" s="201">
        <f>'full model'!BZ28</f>
        <v>40.345006169431045</v>
      </c>
      <c r="G16" s="202">
        <f>'full model'!BY28</f>
        <v>-0.40497679959228261</v>
      </c>
      <c r="H16" s="203">
        <f t="shared" si="3"/>
        <v>-0.40606742386856232</v>
      </c>
      <c r="I16" s="204">
        <f t="shared" si="1"/>
        <v>-0.40373229654060333</v>
      </c>
      <c r="J16" s="163"/>
      <c r="K16" s="208">
        <f>'full model'!CA28</f>
        <v>-10.010705446992452</v>
      </c>
      <c r="L16" s="208">
        <f>'full model'!CB28</f>
        <v>50.010059291281109</v>
      </c>
      <c r="M16" s="208">
        <f>'full model'!CC28</f>
        <v>26.101084750064896</v>
      </c>
      <c r="N16" s="190">
        <f t="shared" si="2"/>
        <v>-1.0705446992451684E-2</v>
      </c>
      <c r="O16" s="190">
        <f t="shared" si="0"/>
        <v>-60.020764738273563</v>
      </c>
    </row>
    <row r="17" spans="1:15" x14ac:dyDescent="0.25">
      <c r="A17" s="257">
        <v>0</v>
      </c>
      <c r="B17" s="258">
        <v>0</v>
      </c>
      <c r="D17" s="165">
        <v>-10</v>
      </c>
      <c r="E17" s="166">
        <v>40</v>
      </c>
      <c r="F17" s="201">
        <f>'full model'!BZ29</f>
        <v>30.25808562051191</v>
      </c>
      <c r="G17" s="202">
        <f>'full model'!BY29</f>
        <v>-0.40575006376808442</v>
      </c>
      <c r="H17" s="203">
        <f t="shared" si="3"/>
        <v>-0.40575627746911802</v>
      </c>
      <c r="I17" s="204">
        <f t="shared" si="1"/>
        <v>-0.40481670711584944</v>
      </c>
      <c r="J17" s="163"/>
      <c r="K17" s="208">
        <f>'full model'!CA29</f>
        <v>-10.008979537159179</v>
      </c>
      <c r="L17" s="208">
        <f>'full model'!CB29</f>
        <v>40.009911931106146</v>
      </c>
      <c r="M17" s="208">
        <f>'full model'!CC29</f>
        <v>20.929583598495505</v>
      </c>
      <c r="N17" s="190">
        <f t="shared" si="2"/>
        <v>-8.9795371591794293E-3</v>
      </c>
      <c r="O17" s="190">
        <f t="shared" si="0"/>
        <v>-50.018891468265323</v>
      </c>
    </row>
    <row r="18" spans="1:15" x14ac:dyDescent="0.25">
      <c r="A18" s="153" t="s">
        <v>412</v>
      </c>
      <c r="B18" s="276"/>
      <c r="C18" s="140" t="s">
        <v>440</v>
      </c>
      <c r="D18" s="165">
        <v>-10</v>
      </c>
      <c r="E18" s="166">
        <v>30</v>
      </c>
      <c r="F18" s="201">
        <f>'full model'!BZ30</f>
        <v>20.17379900320071</v>
      </c>
      <c r="G18" s="202">
        <f>'full model'!BY30</f>
        <v>-0.40652654119499587</v>
      </c>
      <c r="H18" s="203">
        <f t="shared" si="3"/>
        <v>-0.40544521231729852</v>
      </c>
      <c r="I18" s="204">
        <f t="shared" si="1"/>
        <v>-0.40590424969458039</v>
      </c>
      <c r="J18" s="163"/>
      <c r="K18" s="208">
        <f>'full model'!CA30</f>
        <v>-10.007245874760429</v>
      </c>
      <c r="L18" s="208">
        <f>'full model'!CB30</f>
        <v>30.009764823456521</v>
      </c>
      <c r="M18" s="208">
        <f>'full model'!CC30</f>
        <v>15.734558006527344</v>
      </c>
      <c r="N18" s="190">
        <f t="shared" si="2"/>
        <v>-7.2458747604287055E-3</v>
      </c>
      <c r="O18" s="190">
        <f t="shared" si="0"/>
        <v>-40.01701069821695</v>
      </c>
    </row>
    <row r="19" spans="1:15" x14ac:dyDescent="0.25">
      <c r="A19" s="180" t="s">
        <v>378</v>
      </c>
      <c r="B19" s="238" t="s">
        <v>379</v>
      </c>
      <c r="C19" s="142">
        <f>MIN(I10:I45)</f>
        <v>-0.41022009615012928</v>
      </c>
      <c r="D19" s="165">
        <v>-10</v>
      </c>
      <c r="E19" s="166">
        <v>20</v>
      </c>
      <c r="F19" s="201">
        <f>'full model'!BZ31</f>
        <v>10.09215835791899</v>
      </c>
      <c r="G19" s="202">
        <f>'full model'!BY31</f>
        <v>-0.40730627072504966</v>
      </c>
      <c r="H19" s="203">
        <f t="shared" si="3"/>
        <v>-0.40513422878450894</v>
      </c>
      <c r="I19" s="204">
        <f t="shared" si="1"/>
        <v>-0.40699496275742375</v>
      </c>
      <c r="J19" s="163"/>
      <c r="K19" s="208">
        <f>'full model'!CA31</f>
        <v>-10.005504348728378</v>
      </c>
      <c r="L19" s="208">
        <f>'full model'!CB31</f>
        <v>20.009617972093885</v>
      </c>
      <c r="M19" s="208">
        <f>'full model'!CC31</f>
        <v>10.515670998294979</v>
      </c>
      <c r="N19" s="190">
        <f t="shared" si="2"/>
        <v>-5.5043487283779058E-3</v>
      </c>
      <c r="O19" s="190">
        <f t="shared" si="0"/>
        <v>-30.015122320822265</v>
      </c>
    </row>
    <row r="20" spans="1:15" x14ac:dyDescent="0.25">
      <c r="A20" s="143">
        <v>0</v>
      </c>
      <c r="B20" s="256">
        <v>0</v>
      </c>
      <c r="C20" s="142">
        <f>MAX(I10:I45)</f>
        <v>-0.39917017368544699</v>
      </c>
      <c r="D20" s="165">
        <v>-10</v>
      </c>
      <c r="E20" s="166">
        <v>10</v>
      </c>
      <c r="F20" s="201">
        <f>'full model'!BZ32</f>
        <v>1.3175898417427945E-2</v>
      </c>
      <c r="G20" s="202">
        <f>'full model'!BY32</f>
        <v>-0.40808929198066224</v>
      </c>
      <c r="H20" s="203">
        <f t="shared" si="3"/>
        <v>-0.40482332724750097</v>
      </c>
      <c r="I20" s="204">
        <f t="shared" si="1"/>
        <v>-0.4080888855500443</v>
      </c>
      <c r="J20" s="163"/>
      <c r="K20" s="208">
        <f>'full model'!CA32</f>
        <v>-10.003754845294699</v>
      </c>
      <c r="L20" s="208">
        <f>'full model'!CB32</f>
        <v>10.009471380872936</v>
      </c>
      <c r="M20" s="211">
        <f>'full model'!CC32</f>
        <v>5.272577411941537</v>
      </c>
      <c r="N20" s="206">
        <f t="shared" si="2"/>
        <v>-3.7548452946989386E-3</v>
      </c>
      <c r="O20" s="190">
        <f t="shared" si="0"/>
        <v>-20.013226226167635</v>
      </c>
    </row>
    <row r="21" spans="1:15" x14ac:dyDescent="0.25">
      <c r="A21" s="143">
        <v>0</v>
      </c>
      <c r="B21" s="256">
        <v>0</v>
      </c>
      <c r="C21" s="142">
        <f>C20-C19</f>
        <v>1.1049922464682282E-2</v>
      </c>
      <c r="D21" s="165">
        <v>-10</v>
      </c>
      <c r="E21" s="166">
        <v>0</v>
      </c>
      <c r="F21" s="201">
        <f>'full model'!BZ33</f>
        <v>-10.06313598399322</v>
      </c>
      <c r="G21" s="202">
        <f>'full model'!BY33</f>
        <v>-0.40887564537028798</v>
      </c>
      <c r="H21" s="203">
        <f t="shared" si="3"/>
        <v>-0.40451250808850348</v>
      </c>
      <c r="I21" s="204">
        <f t="shared" si="1"/>
        <v>-0.40918605809866754</v>
      </c>
      <c r="J21" s="163"/>
      <c r="K21" s="208">
        <f>'full model'!CA33</f>
        <v>-10.001997247901517</v>
      </c>
      <c r="L21" s="208">
        <f>'full model'!CB33</f>
        <v>9.3250537427369551E-3</v>
      </c>
      <c r="M21" s="211">
        <f>'full model'!CC33</f>
        <v>4.9236175407862959E-3</v>
      </c>
      <c r="N21" s="206">
        <f t="shared" si="2"/>
        <v>-1.9972479015173406E-3</v>
      </c>
      <c r="O21" s="190">
        <f t="shared" si="0"/>
        <v>-10.011322301644254</v>
      </c>
    </row>
    <row r="22" spans="1:15" x14ac:dyDescent="0.25">
      <c r="A22" s="278">
        <v>0</v>
      </c>
      <c r="B22" s="279">
        <v>0</v>
      </c>
      <c r="C22" s="140" t="s">
        <v>458</v>
      </c>
      <c r="D22" s="165">
        <v>-20</v>
      </c>
      <c r="E22" s="166">
        <v>50</v>
      </c>
      <c r="F22" s="201">
        <f>'full model'!BZ34</f>
        <v>30.19837308689177</v>
      </c>
      <c r="G22" s="202">
        <f>'full model'!BY34</f>
        <v>-0.40357277222891064</v>
      </c>
      <c r="H22" s="203">
        <f t="shared" si="3"/>
        <v>-0.40575443554523771</v>
      </c>
      <c r="I22" s="204">
        <f t="shared" si="1"/>
        <v>-0.40264125750055596</v>
      </c>
      <c r="J22" s="163"/>
      <c r="K22" s="208">
        <f>'full model'!CA34</f>
        <v>-20.014020228677044</v>
      </c>
      <c r="L22" s="208">
        <f>'full model'!CB34</f>
        <v>50.010292656689657</v>
      </c>
      <c r="M22" s="211">
        <f>'full model'!CC34</f>
        <v>26.101205161315868</v>
      </c>
      <c r="N22" s="206">
        <f t="shared" si="2"/>
        <v>-1.4020228677043889E-2</v>
      </c>
      <c r="O22" s="190">
        <f t="shared" si="0"/>
        <v>-70.024312885366697</v>
      </c>
    </row>
    <row r="23" spans="1:15" x14ac:dyDescent="0.25">
      <c r="A23" s="257">
        <v>0</v>
      </c>
      <c r="B23" s="258">
        <v>0</v>
      </c>
      <c r="C23" s="167">
        <f>AVERAGE(I10:I45)</f>
        <v>-0.40482292081688281</v>
      </c>
      <c r="D23" s="165">
        <v>-20</v>
      </c>
      <c r="E23" s="166">
        <v>40</v>
      </c>
      <c r="F23" s="201">
        <f>'full model'!BZ35</f>
        <v>20.208087347209911</v>
      </c>
      <c r="G23" s="202">
        <f>'full model'!BY35</f>
        <v>-0.40435418497297704</v>
      </c>
      <c r="H23" s="203">
        <f t="shared" si="3"/>
        <v>-0.40544626999339795</v>
      </c>
      <c r="I23" s="204">
        <f t="shared" si="1"/>
        <v>-0.40373083579646213</v>
      </c>
      <c r="J23" s="163"/>
      <c r="K23" s="208">
        <f>'full model'!CA35</f>
        <v>-20.01229449459052</v>
      </c>
      <c r="L23" s="208">
        <f>'full model'!CB35</f>
        <v>40.010143611738826</v>
      </c>
      <c r="M23" s="211">
        <f>'full model'!CC35</f>
        <v>20.929703681609624</v>
      </c>
      <c r="N23" s="206">
        <f t="shared" si="2"/>
        <v>-1.2294494590520344E-2</v>
      </c>
      <c r="O23" s="190">
        <f t="shared" si="0"/>
        <v>-60.022438106329346</v>
      </c>
    </row>
    <row r="24" spans="1:15" ht="18" x14ac:dyDescent="0.35">
      <c r="A24" s="183" t="s">
        <v>381</v>
      </c>
      <c r="B24" s="237" t="s">
        <v>380</v>
      </c>
      <c r="C24" s="140" t="s">
        <v>459</v>
      </c>
      <c r="D24" s="165">
        <v>-20</v>
      </c>
      <c r="E24" s="166">
        <v>30</v>
      </c>
      <c r="F24" s="201">
        <f>'full model'!BZ36</f>
        <v>10.220435536924866</v>
      </c>
      <c r="G24" s="202">
        <f>'full model'!BY36</f>
        <v>-0.4051388584322968</v>
      </c>
      <c r="H24" s="203">
        <f t="shared" si="3"/>
        <v>-0.40513818568911475</v>
      </c>
      <c r="I24" s="204">
        <f t="shared" si="1"/>
        <v>-0.40482359356006509</v>
      </c>
      <c r="J24" s="163"/>
      <c r="K24" s="208">
        <f>'full model'!CA36</f>
        <v>-20.0105610078406</v>
      </c>
      <c r="L24" s="208">
        <f>'full model'!CB36</f>
        <v>30.009994816485587</v>
      </c>
      <c r="M24" s="211">
        <f>'full model'!CC36</f>
        <v>15.734677759819071</v>
      </c>
      <c r="N24" s="206">
        <f t="shared" si="2"/>
        <v>-1.0561007840600212E-2</v>
      </c>
      <c r="O24" s="190">
        <f t="shared" si="0"/>
        <v>-50.020555824326188</v>
      </c>
    </row>
    <row r="25" spans="1:15" x14ac:dyDescent="0.25">
      <c r="A25" s="143">
        <v>0.9</v>
      </c>
      <c r="B25" s="237"/>
      <c r="C25" s="142">
        <f>STDEV(I10:I45)</f>
        <v>2.7572036857518916E-3</v>
      </c>
      <c r="D25" s="165">
        <v>-20</v>
      </c>
      <c r="E25" s="166">
        <v>20</v>
      </c>
      <c r="F25" s="201">
        <f>'full model'!BZ37</f>
        <v>0.23542969643974843</v>
      </c>
      <c r="G25" s="202">
        <f>'full model'!BY37</f>
        <v>-0.40592683221274406</v>
      </c>
      <c r="H25" s="203">
        <f t="shared" si="3"/>
        <v>-0.40483018300379275</v>
      </c>
      <c r="I25" s="204">
        <f t="shared" si="1"/>
        <v>-0.40591957002583434</v>
      </c>
      <c r="J25" s="163"/>
      <c r="K25" s="208">
        <f>'full model'!CA37</f>
        <v>-20.008819657356682</v>
      </c>
      <c r="L25" s="208">
        <f>'full model'!CB37</f>
        <v>20.009846274651856</v>
      </c>
      <c r="M25" s="211">
        <f>'full model'!CC37</f>
        <v>10.515790420053461</v>
      </c>
      <c r="N25" s="206">
        <f t="shared" si="2"/>
        <v>-8.819657356681887E-3</v>
      </c>
      <c r="O25" s="190">
        <f t="shared" si="0"/>
        <v>-40.018665932008538</v>
      </c>
    </row>
    <row r="26" spans="1:15" x14ac:dyDescent="0.25">
      <c r="A26" s="257">
        <v>0.5</v>
      </c>
      <c r="B26" s="258">
        <v>0</v>
      </c>
      <c r="D26" s="165">
        <v>-20</v>
      </c>
      <c r="E26" s="166">
        <v>10</v>
      </c>
      <c r="F26" s="201">
        <f>'full model'!BZ38</f>
        <v>-9.7469179605136347</v>
      </c>
      <c r="G26" s="202">
        <f>'full model'!BY38</f>
        <v>-0.4067181467084513</v>
      </c>
      <c r="H26" s="203">
        <f t="shared" si="3"/>
        <v>-0.40452226231418298</v>
      </c>
      <c r="I26" s="204">
        <f t="shared" si="1"/>
        <v>-0.40701880521115136</v>
      </c>
      <c r="J26" s="163"/>
      <c r="K26" s="208">
        <f>'full model'!CA38</f>
        <v>-20.007070329369991</v>
      </c>
      <c r="L26" s="208">
        <f>'full model'!CB38</f>
        <v>10.009697990051247</v>
      </c>
      <c r="M26" s="211">
        <f>'full model'!CC38</f>
        <v>5.2726965004299409</v>
      </c>
      <c r="N26" s="206">
        <f t="shared" si="2"/>
        <v>-7.0703293699914127E-3</v>
      </c>
      <c r="O26" s="190">
        <f t="shared" si="0"/>
        <v>-30.016768319421239</v>
      </c>
    </row>
    <row r="27" spans="1:15" ht="18" x14ac:dyDescent="0.35">
      <c r="A27" s="183" t="s">
        <v>382</v>
      </c>
      <c r="B27" s="237" t="s">
        <v>380</v>
      </c>
      <c r="D27" s="165">
        <v>-20</v>
      </c>
      <c r="E27" s="166">
        <v>0</v>
      </c>
      <c r="F27" s="201">
        <f>'full model'!BZ39</f>
        <v>-19.726595042643623</v>
      </c>
      <c r="G27" s="202">
        <f>'full model'!BY39</f>
        <v>-0.40751284312179337</v>
      </c>
      <c r="H27" s="203">
        <f t="shared" si="3"/>
        <v>-0.40421442400251367</v>
      </c>
      <c r="I27" s="204">
        <f t="shared" si="1"/>
        <v>-0.40812133993616273</v>
      </c>
      <c r="J27" s="163"/>
      <c r="K27" s="208">
        <f>'full model'!CA39</f>
        <v>-20.005312907319773</v>
      </c>
      <c r="L27" s="208">
        <f>'full model'!CB39</f>
        <v>9.5499665926368493E-3</v>
      </c>
      <c r="M27" s="211">
        <f>'full model'!CC39</f>
        <v>5.0423709965219388E-3</v>
      </c>
      <c r="N27" s="206">
        <f t="shared" si="2"/>
        <v>-5.3129073197730747E-3</v>
      </c>
      <c r="O27" s="190">
        <f t="shared" si="0"/>
        <v>-20.01486287391241</v>
      </c>
    </row>
    <row r="28" spans="1:15" x14ac:dyDescent="0.25">
      <c r="A28" s="259">
        <f>A29</f>
        <v>0</v>
      </c>
      <c r="D28" s="165">
        <v>-30</v>
      </c>
      <c r="E28" s="166">
        <v>50</v>
      </c>
      <c r="F28" s="201">
        <f>'full model'!BZ40</f>
        <v>20.05174001356913</v>
      </c>
      <c r="G28" s="202">
        <f>'full model'!BY40</f>
        <v>-0.40213640750164092</v>
      </c>
      <c r="H28" s="203">
        <f t="shared" si="3"/>
        <v>-0.40544144722219744</v>
      </c>
      <c r="I28" s="204">
        <f t="shared" si="1"/>
        <v>-0.40151788109632652</v>
      </c>
      <c r="J28" s="163"/>
      <c r="K28" s="208">
        <f>'full model'!CA40</f>
        <v>-30.017335011451539</v>
      </c>
      <c r="L28" s="208">
        <f>'full model'!CB40</f>
        <v>50.010526052551405</v>
      </c>
      <c r="M28" s="211">
        <f>'full model'!CC40</f>
        <v>26.101325588267166</v>
      </c>
      <c r="N28" s="206">
        <f t="shared" si="2"/>
        <v>-1.7335011451539373E-2</v>
      </c>
      <c r="O28" s="190">
        <f t="shared" si="0"/>
        <v>-80.027861064002948</v>
      </c>
    </row>
    <row r="29" spans="1:15" x14ac:dyDescent="0.25">
      <c r="A29" s="257">
        <v>0</v>
      </c>
      <c r="B29" s="258">
        <v>0</v>
      </c>
      <c r="D29" s="165">
        <v>-30</v>
      </c>
      <c r="E29" s="166">
        <v>40</v>
      </c>
      <c r="F29" s="201">
        <f>'full model'!BZ41</f>
        <v>10.158089082950239</v>
      </c>
      <c r="G29" s="202">
        <f>'full model'!BY41</f>
        <v>-0.40292611511294485</v>
      </c>
      <c r="H29" s="203">
        <f t="shared" si="3"/>
        <v>-0.40513626251795681</v>
      </c>
      <c r="I29" s="204">
        <f t="shared" si="1"/>
        <v>-0.40261277341187107</v>
      </c>
      <c r="J29" s="163"/>
      <c r="K29" s="208">
        <f>'full model'!CA41</f>
        <v>-30.015609453107327</v>
      </c>
      <c r="L29" s="208">
        <f>'full model'!CB41</f>
        <v>40.010375322571349</v>
      </c>
      <c r="M29" s="211">
        <f>'full model'!CC41</f>
        <v>20.929823780363456</v>
      </c>
      <c r="N29" s="206">
        <f t="shared" si="2"/>
        <v>-1.5609453107327198E-2</v>
      </c>
      <c r="O29" s="190">
        <f t="shared" si="0"/>
        <v>-70.02598477567868</v>
      </c>
    </row>
    <row r="30" spans="1:15" x14ac:dyDescent="0.25">
      <c r="A30" s="180" t="s">
        <v>383</v>
      </c>
      <c r="B30" s="238" t="s">
        <v>406</v>
      </c>
      <c r="D30" s="165">
        <v>-30</v>
      </c>
      <c r="E30" s="166">
        <v>30</v>
      </c>
      <c r="F30" s="201">
        <f>'full model'!BZ42</f>
        <v>0.26707207951814915</v>
      </c>
      <c r="G30" s="202">
        <f>'full model'!BY42</f>
        <v>-0.40371913173131713</v>
      </c>
      <c r="H30" s="203">
        <f t="shared" si="3"/>
        <v>-0.40483115906120459</v>
      </c>
      <c r="I30" s="204">
        <f t="shared" si="1"/>
        <v>-0.40371089348699557</v>
      </c>
      <c r="J30" s="163"/>
      <c r="K30" s="208">
        <f>'full model'!CA42</f>
        <v>-30.013876142001795</v>
      </c>
      <c r="L30" s="208">
        <f>'full model'!CB42</f>
        <v>30.010224839460477</v>
      </c>
      <c r="M30" s="211">
        <f>'full model'!CC42</f>
        <v>15.73479752868967</v>
      </c>
      <c r="N30" s="206">
        <f t="shared" si="2"/>
        <v>-1.3876142001794989E-2</v>
      </c>
      <c r="O30" s="190">
        <f t="shared" si="0"/>
        <v>-60.024100981462269</v>
      </c>
    </row>
    <row r="31" spans="1:15" x14ac:dyDescent="0.25">
      <c r="A31" s="259">
        <v>0</v>
      </c>
      <c r="B31" s="237">
        <v>0</v>
      </c>
      <c r="D31" s="165">
        <v>-30</v>
      </c>
      <c r="E31" s="166">
        <v>20</v>
      </c>
      <c r="F31" s="201">
        <f>'full model'!BZ43</f>
        <v>-9.6212989563408957</v>
      </c>
      <c r="G31" s="202">
        <f>'full model'!BY43</f>
        <v>-0.40451549772491102</v>
      </c>
      <c r="H31" s="203">
        <f t="shared" si="3"/>
        <v>-0.40452613722334485</v>
      </c>
      <c r="I31" s="204">
        <f t="shared" si="1"/>
        <v>-0.40481228131844921</v>
      </c>
      <c r="J31" s="163"/>
      <c r="K31" s="211">
        <f>'full model'!CA43</f>
        <v>-30.012134967062231</v>
      </c>
      <c r="L31" s="211">
        <f>'full model'!CB43</f>
        <v>20.010074606900741</v>
      </c>
      <c r="M31" s="211">
        <f>'full model'!CC43</f>
        <v>10.515909857330863</v>
      </c>
      <c r="N31" s="206">
        <f t="shared" si="2"/>
        <v>-1.2134967062230828E-2</v>
      </c>
      <c r="O31" s="190">
        <f t="shared" si="0"/>
        <v>-50.022209573962968</v>
      </c>
    </row>
    <row r="32" spans="1:15" x14ac:dyDescent="0.25">
      <c r="A32" s="259">
        <v>0</v>
      </c>
      <c r="B32" s="237">
        <v>0</v>
      </c>
      <c r="D32" s="165">
        <v>-30</v>
      </c>
      <c r="E32" s="166">
        <v>10</v>
      </c>
      <c r="F32" s="201">
        <f>'full model'!BZ44</f>
        <v>-19.507011810915408</v>
      </c>
      <c r="G32" s="202">
        <f>'full model'!BY44</f>
        <v>-0.40531525427556225</v>
      </c>
      <c r="H32" s="203">
        <f t="shared" si="3"/>
        <v>-0.40422119738112799</v>
      </c>
      <c r="I32" s="204">
        <f t="shared" si="1"/>
        <v>-0.40591697771131729</v>
      </c>
      <c r="J32" s="163"/>
      <c r="K32" s="211">
        <f>'full model'!CA44</f>
        <v>-30.010385814517981</v>
      </c>
      <c r="L32" s="211">
        <f>'full model'!CB44</f>
        <v>10.009924628667122</v>
      </c>
      <c r="M32" s="211">
        <f>'full model'!CC44</f>
        <v>5.2728156043766461</v>
      </c>
      <c r="N32" s="206">
        <f t="shared" si="2"/>
        <v>-1.0385814517981373E-2</v>
      </c>
      <c r="O32" s="190">
        <f t="shared" si="0"/>
        <v>-40.020310443185103</v>
      </c>
    </row>
    <row r="33" spans="1:15" x14ac:dyDescent="0.25">
      <c r="A33" s="259">
        <v>0</v>
      </c>
      <c r="B33" s="237">
        <v>0</v>
      </c>
      <c r="D33" s="165">
        <v>-30</v>
      </c>
      <c r="E33" s="166">
        <v>0</v>
      </c>
      <c r="F33" s="201">
        <f>'full model'!BZ45</f>
        <v>-29.390054092933049</v>
      </c>
      <c r="G33" s="202">
        <f>'full model'!BY45</f>
        <v>-0.40611844339055736</v>
      </c>
      <c r="H33" s="203">
        <f t="shared" si="3"/>
        <v>-0.40391633991678177</v>
      </c>
      <c r="I33" s="204">
        <f t="shared" si="1"/>
        <v>-0.40702502429065862</v>
      </c>
      <c r="J33" s="163"/>
      <c r="K33" s="211">
        <f>'full model'!CA45</f>
        <v>-30.008628567806838</v>
      </c>
      <c r="L33" s="211">
        <f>'full model'!CB45</f>
        <v>9.7749086263032581E-3</v>
      </c>
      <c r="M33" s="211">
        <f>'full model'!CC45</f>
        <v>5.1611398483863979E-3</v>
      </c>
      <c r="N33" s="206">
        <f t="shared" si="2"/>
        <v>-8.6285678068378502E-3</v>
      </c>
      <c r="O33" s="190">
        <f t="shared" si="0"/>
        <v>-30.018403476433143</v>
      </c>
    </row>
    <row r="34" spans="1:15" x14ac:dyDescent="0.25">
      <c r="A34" s="257">
        <v>0</v>
      </c>
      <c r="B34" s="239">
        <v>0</v>
      </c>
      <c r="D34" s="165">
        <v>-40</v>
      </c>
      <c r="E34" s="166">
        <v>50</v>
      </c>
      <c r="F34" s="201">
        <f>'full model'!BZ46</f>
        <v>9.9051069494664468</v>
      </c>
      <c r="G34" s="202">
        <f>'full model'!BY46</f>
        <v>-0.40066672968719352</v>
      </c>
      <c r="H34" s="203">
        <f t="shared" si="3"/>
        <v>-0.4051284588994416</v>
      </c>
      <c r="I34" s="204">
        <f t="shared" si="1"/>
        <v>-0.40036119160463496</v>
      </c>
      <c r="J34" s="163"/>
      <c r="K34" s="211">
        <f>'full model'!CA46</f>
        <v>-40.02064979531572</v>
      </c>
      <c r="L34" s="211">
        <f>'full model'!CB46</f>
        <v>50.010759478875897</v>
      </c>
      <c r="M34" s="211">
        <f>'full model'!CC46</f>
        <v>26.101446030923903</v>
      </c>
      <c r="N34" s="206">
        <f t="shared" si="2"/>
        <v>-2.0649795315719643E-2</v>
      </c>
      <c r="O34" s="190">
        <f t="shared" si="0"/>
        <v>-90.031409274191617</v>
      </c>
    </row>
    <row r="35" spans="1:15" x14ac:dyDescent="0.25">
      <c r="A35" s="180" t="s">
        <v>384</v>
      </c>
      <c r="B35" s="235"/>
      <c r="D35" s="165">
        <v>-40</v>
      </c>
      <c r="E35" s="166">
        <v>40</v>
      </c>
      <c r="F35" s="201">
        <f>'full model'!BZ47</f>
        <v>0.1080908277355519</v>
      </c>
      <c r="G35" s="202">
        <f>'full model'!BY47</f>
        <v>-0.40146488270342839</v>
      </c>
      <c r="H35" s="203">
        <f t="shared" si="3"/>
        <v>-0.40482625504279468</v>
      </c>
      <c r="I35" s="204">
        <f t="shared" si="1"/>
        <v>-0.40146154847751675</v>
      </c>
      <c r="J35" s="163"/>
      <c r="K35" s="211">
        <f>'full model'!CA47</f>
        <v>-40.018924412709936</v>
      </c>
      <c r="L35" s="211">
        <f>'full model'!CB47</f>
        <v>40.010607063612809</v>
      </c>
      <c r="M35" s="211">
        <f>'full model'!CC47</f>
        <v>20.929943894762324</v>
      </c>
      <c r="N35" s="206">
        <f t="shared" si="2"/>
        <v>-1.8924412709935723E-2</v>
      </c>
      <c r="O35" s="190">
        <f t="shared" si="0"/>
        <v>-80.029531476322745</v>
      </c>
    </row>
    <row r="36" spans="1:15" x14ac:dyDescent="0.25">
      <c r="A36" s="180" t="s">
        <v>385</v>
      </c>
      <c r="B36" s="238" t="s">
        <v>406</v>
      </c>
      <c r="D36" s="165">
        <v>-40</v>
      </c>
      <c r="E36" s="166">
        <v>30</v>
      </c>
      <c r="F36" s="201">
        <f>'full model'!BZ48</f>
        <v>-9.6862913690157768</v>
      </c>
      <c r="G36" s="202">
        <f>'full model'!BY48</f>
        <v>-0.40226639386764518</v>
      </c>
      <c r="H36" s="203">
        <f t="shared" si="3"/>
        <v>-0.40452413243356811</v>
      </c>
      <c r="I36" s="204">
        <f t="shared" si="1"/>
        <v>-0.40256518225096011</v>
      </c>
      <c r="J36" s="163"/>
      <c r="K36" s="211">
        <f>'full model'!CA48</f>
        <v>-40.017191277244677</v>
      </c>
      <c r="L36" s="211">
        <f>'full model'!CB48</f>
        <v>30.010454892389848</v>
      </c>
      <c r="M36" s="211">
        <f>'full model'!CC48</f>
        <v>15.734917313145358</v>
      </c>
      <c r="N36" s="206">
        <f t="shared" si="2"/>
        <v>-1.7191277244677394E-2</v>
      </c>
      <c r="O36" s="190">
        <f t="shared" si="0"/>
        <v>-70.027646169634522</v>
      </c>
    </row>
    <row r="37" spans="1:15" x14ac:dyDescent="0.25">
      <c r="A37" s="143">
        <v>1</v>
      </c>
      <c r="B37" s="237">
        <v>1</v>
      </c>
      <c r="D37" s="165">
        <v>-40</v>
      </c>
      <c r="E37" s="166">
        <v>20</v>
      </c>
      <c r="F37" s="201">
        <f>'full model'!BZ49</f>
        <v>-19.478027600420834</v>
      </c>
      <c r="G37" s="202">
        <f>'full model'!BY49</f>
        <v>-0.40307130432815086</v>
      </c>
      <c r="H37" s="203">
        <f t="shared" si="3"/>
        <v>-0.40422209144316534</v>
      </c>
      <c r="I37" s="204">
        <f t="shared" si="1"/>
        <v>-0.40367213370186855</v>
      </c>
      <c r="J37" s="163"/>
      <c r="K37" s="211">
        <f>'full model'!CA49</f>
        <v>-40.015450277845254</v>
      </c>
      <c r="L37" s="211">
        <f>'full model'!CB49</f>
        <v>20.010302968850759</v>
      </c>
      <c r="M37" s="211">
        <f>'full model'!CC49</f>
        <v>10.516029310131403</v>
      </c>
      <c r="N37" s="206">
        <f t="shared" si="2"/>
        <v>-1.5450277845253879E-2</v>
      </c>
      <c r="O37" s="190">
        <f t="shared" si="0"/>
        <v>-60.025753246696013</v>
      </c>
    </row>
    <row r="38" spans="1:15" x14ac:dyDescent="0.25">
      <c r="A38" s="143">
        <v>1</v>
      </c>
      <c r="B38" s="237">
        <v>1</v>
      </c>
      <c r="D38" s="165">
        <v>-40</v>
      </c>
      <c r="E38" s="166">
        <v>10</v>
      </c>
      <c r="F38" s="201">
        <f>'full model'!BZ50</f>
        <v>-29.267105652786118</v>
      </c>
      <c r="G38" s="202">
        <f>'full model'!BY50</f>
        <v>-0.40387965606125675</v>
      </c>
      <c r="H38" s="203">
        <f t="shared" si="3"/>
        <v>-0.40392013244833624</v>
      </c>
      <c r="I38" s="204">
        <f t="shared" si="1"/>
        <v>-0.40478244442980355</v>
      </c>
      <c r="J38" s="163"/>
      <c r="K38" s="211">
        <f>'full model'!CA50</f>
        <v>-40.013701300739001</v>
      </c>
      <c r="L38" s="211">
        <f>'full model'!CB50</f>
        <v>10.010151296729441</v>
      </c>
      <c r="M38" s="211">
        <f>'full model'!CC50</f>
        <v>5.2729347237854274</v>
      </c>
      <c r="N38" s="206">
        <f t="shared" si="2"/>
        <v>-1.3701300739000999E-2</v>
      </c>
      <c r="O38" s="190">
        <f t="shared" si="0"/>
        <v>-50.023852597468441</v>
      </c>
    </row>
    <row r="39" spans="1:15" x14ac:dyDescent="0.25">
      <c r="A39" s="257">
        <v>1</v>
      </c>
      <c r="B39" s="239">
        <v>1</v>
      </c>
      <c r="D39" s="165">
        <v>-40</v>
      </c>
      <c r="E39" s="166">
        <v>0</v>
      </c>
      <c r="F39" s="201">
        <f>'full model'!BZ51</f>
        <v>-39.053513134858832</v>
      </c>
      <c r="G39" s="202">
        <f>'full model'!BY51</f>
        <v>-0.4046914918961475</v>
      </c>
      <c r="H39" s="203">
        <f t="shared" si="3"/>
        <v>-0.40361825583130784</v>
      </c>
      <c r="I39" s="204">
        <f t="shared" si="1"/>
        <v>-0.4058961568817227</v>
      </c>
      <c r="J39" s="163"/>
      <c r="K39" s="211">
        <f>'full model'!CA51</f>
        <v>-40.011944229362165</v>
      </c>
      <c r="L39" s="211">
        <f>'full model'!CB51</f>
        <v>9.9998798521738763E-3</v>
      </c>
      <c r="M39" s="211">
        <f>'full model'!CC51</f>
        <v>5.2799241012646547E-3</v>
      </c>
      <c r="N39" s="206">
        <f t="shared" si="2"/>
        <v>-1.1944229362164549E-2</v>
      </c>
      <c r="O39" s="190">
        <f t="shared" si="0"/>
        <v>-40.021944109214338</v>
      </c>
    </row>
    <row r="40" spans="1:15" x14ac:dyDescent="0.25">
      <c r="A40" s="180" t="s">
        <v>386</v>
      </c>
      <c r="B40" s="235"/>
      <c r="D40" s="165">
        <v>-50</v>
      </c>
      <c r="E40" s="166">
        <v>50</v>
      </c>
      <c r="F40" s="201">
        <f>'full model'!BZ52</f>
        <v>-0.24152610541328112</v>
      </c>
      <c r="G40" s="202">
        <f>'full model'!BY52</f>
        <v>-0.39916272344553416</v>
      </c>
      <c r="H40" s="203">
        <f t="shared" si="3"/>
        <v>-0.4048154705769702</v>
      </c>
      <c r="I40" s="204">
        <f t="shared" si="1"/>
        <v>-0.39917017368544699</v>
      </c>
      <c r="J40" s="163"/>
      <c r="K40" s="211">
        <f>'full model'!CA52</f>
        <v>-50.0239645802707</v>
      </c>
      <c r="L40" s="211">
        <f>'full model'!CB52</f>
        <v>50.010992935672903</v>
      </c>
      <c r="M40" s="211">
        <f>'full model'!CC52</f>
        <v>26.101566489291848</v>
      </c>
      <c r="N40" s="206">
        <f t="shared" si="2"/>
        <v>-2.3964580270700253E-2</v>
      </c>
      <c r="O40" s="190">
        <f t="shared" si="0"/>
        <v>-100.0349575159436</v>
      </c>
    </row>
    <row r="41" spans="1:15" x14ac:dyDescent="0.25">
      <c r="A41" s="180" t="s">
        <v>387</v>
      </c>
      <c r="B41" s="238" t="s">
        <v>406</v>
      </c>
      <c r="D41" s="165">
        <v>-50</v>
      </c>
      <c r="E41" s="166">
        <v>40</v>
      </c>
      <c r="F41" s="201">
        <f>'full model'!BZ53</f>
        <v>-9.9419074184309295</v>
      </c>
      <c r="G41" s="202">
        <f>'full model'!BY53</f>
        <v>-0.39996947680354111</v>
      </c>
      <c r="H41" s="203">
        <f t="shared" si="3"/>
        <v>-0.40451624756791166</v>
      </c>
      <c r="I41" s="204">
        <f t="shared" si="1"/>
        <v>-0.40027615005251249</v>
      </c>
      <c r="J41" s="163"/>
      <c r="K41" s="211">
        <f>'full model'!CA53</f>
        <v>-50.022239373399337</v>
      </c>
      <c r="L41" s="211">
        <f>'full model'!CB53</f>
        <v>40.010838834872551</v>
      </c>
      <c r="M41" s="211">
        <f>'full model'!CC53</f>
        <v>20.930064024811568</v>
      </c>
      <c r="N41" s="206">
        <f t="shared" si="2"/>
        <v>-2.2239373399337126E-2</v>
      </c>
      <c r="O41" s="190">
        <f t="shared" si="0"/>
        <v>-90.033078208271888</v>
      </c>
    </row>
    <row r="42" spans="1:15" x14ac:dyDescent="0.25">
      <c r="A42" s="143">
        <v>0</v>
      </c>
      <c r="B42" s="237">
        <v>0</v>
      </c>
      <c r="D42" s="165">
        <v>-50</v>
      </c>
      <c r="E42" s="166">
        <v>30</v>
      </c>
      <c r="F42" s="201">
        <f>'full model'!BZ54</f>
        <v>-19.639654808674798</v>
      </c>
      <c r="G42" s="202">
        <f>'full model'!BY54</f>
        <v>-0.40077963833062835</v>
      </c>
      <c r="H42" s="203">
        <f t="shared" si="3"/>
        <v>-0.4042171058062054</v>
      </c>
      <c r="I42" s="204">
        <f t="shared" si="1"/>
        <v>-0.40138545334130599</v>
      </c>
      <c r="J42" s="163"/>
      <c r="K42" s="211">
        <f>'full model'!CA54</f>
        <v>-50.020506413569919</v>
      </c>
      <c r="L42" s="211">
        <f>'full model'!CB54</f>
        <v>30.010684975283255</v>
      </c>
      <c r="M42" s="211">
        <f>'full model'!CC54</f>
        <v>15.735037113189909</v>
      </c>
      <c r="N42" s="206">
        <f t="shared" si="2"/>
        <v>-2.0506413569918891E-2</v>
      </c>
      <c r="O42" s="190">
        <f t="shared" si="0"/>
        <v>-80.031191388853173</v>
      </c>
    </row>
    <row r="43" spans="1:15" x14ac:dyDescent="0.25">
      <c r="A43" s="180" t="s">
        <v>388</v>
      </c>
      <c r="B43" s="238" t="s">
        <v>407</v>
      </c>
      <c r="D43" s="165">
        <v>-50</v>
      </c>
      <c r="E43" s="166">
        <v>20</v>
      </c>
      <c r="F43" s="201">
        <f>'full model'!BZ55</f>
        <v>-29.334756235796956</v>
      </c>
      <c r="G43" s="202">
        <f>'full model'!BY55</f>
        <v>-0.40159324996436041</v>
      </c>
      <c r="H43" s="203">
        <f t="shared" si="3"/>
        <v>-0.40391804566325429</v>
      </c>
      <c r="I43" s="204">
        <f t="shared" si="1"/>
        <v>-0.40249812511798916</v>
      </c>
      <c r="J43" s="163"/>
      <c r="K43" s="211">
        <f>'full model'!CA55</f>
        <v>-50.018765589706085</v>
      </c>
      <c r="L43" s="211">
        <f>'full model'!CB55</f>
        <v>20.010531360510342</v>
      </c>
      <c r="M43" s="211">
        <f>'full model'!CC55</f>
        <v>10.51614877846041</v>
      </c>
      <c r="N43" s="206">
        <f t="shared" si="2"/>
        <v>-1.8765589706084995E-2</v>
      </c>
      <c r="O43" s="190">
        <f t="shared" si="0"/>
        <v>-70.029296950216434</v>
      </c>
    </row>
    <row r="44" spans="1:15" x14ac:dyDescent="0.25">
      <c r="A44" s="143">
        <v>16000</v>
      </c>
      <c r="B44" s="237">
        <v>16000</v>
      </c>
      <c r="D44" s="165">
        <v>-50</v>
      </c>
      <c r="E44" s="166">
        <v>10</v>
      </c>
      <c r="F44" s="201">
        <f>'full model'!BZ56</f>
        <v>-39.027199486122655</v>
      </c>
      <c r="G44" s="202">
        <f>'full model'!BY56</f>
        <v>-0.40241035449262164</v>
      </c>
      <c r="H44" s="203">
        <f t="shared" si="3"/>
        <v>-0.40361906751580767</v>
      </c>
      <c r="I44" s="204">
        <f t="shared" si="1"/>
        <v>-0.403614207793697</v>
      </c>
      <c r="J44" s="163"/>
      <c r="K44" s="211">
        <f>'full model'!CA56</f>
        <v>-50.017016788033828</v>
      </c>
      <c r="L44" s="211">
        <f>'full model'!CB56</f>
        <v>10.01037799424731</v>
      </c>
      <c r="M44" s="211">
        <f>'full model'!CC56</f>
        <v>5.2730538586611697</v>
      </c>
      <c r="N44" s="206">
        <f t="shared" si="2"/>
        <v>-1.7016788033828334E-2</v>
      </c>
      <c r="O44" s="190">
        <f t="shared" si="0"/>
        <v>-60.027394782281135</v>
      </c>
    </row>
    <row r="45" spans="1:15" x14ac:dyDescent="0.25">
      <c r="A45" s="180" t="s">
        <v>389</v>
      </c>
      <c r="B45" s="235"/>
      <c r="D45" s="165">
        <v>-50</v>
      </c>
      <c r="E45" s="166">
        <v>0</v>
      </c>
      <c r="F45" s="201">
        <f>'full model'!BZ57</f>
        <v>-48.716972168418749</v>
      </c>
      <c r="G45" s="202">
        <f>'full model'!BY57</f>
        <v>-0.40323099557570963</v>
      </c>
      <c r="H45" s="203">
        <f t="shared" si="3"/>
        <v>-0.40332017174609203</v>
      </c>
      <c r="I45" s="204">
        <f t="shared" si="1"/>
        <v>-0.40473374464650064</v>
      </c>
      <c r="J45" s="163"/>
      <c r="K45" s="211">
        <f>'full model'!CA57</f>
        <v>-50.015259891987519</v>
      </c>
      <c r="L45" s="211">
        <f>'full model'!CB57</f>
        <v>1.0224880278908444E-2</v>
      </c>
      <c r="M45" s="211">
        <f>'full model'!CC57</f>
        <v>5.3987237593755566E-3</v>
      </c>
      <c r="N45" s="206">
        <f t="shared" si="2"/>
        <v>-1.525989198751887E-2</v>
      </c>
      <c r="O45" s="190">
        <f t="shared" si="0"/>
        <v>-50.025484772266424</v>
      </c>
    </row>
    <row r="46" spans="1:15" x14ac:dyDescent="0.25">
      <c r="A46" s="180" t="s">
        <v>385</v>
      </c>
      <c r="B46" s="235"/>
      <c r="N46" s="334">
        <f xml:space="preserve"> MAX(N10:N45)-MIN(N10:N45)</f>
        <v>2.528299071995832E-2</v>
      </c>
    </row>
    <row r="47" spans="1:15" x14ac:dyDescent="0.25">
      <c r="A47" s="143">
        <v>100</v>
      </c>
      <c r="B47" s="237">
        <v>100</v>
      </c>
      <c r="D47" s="171" t="s">
        <v>286</v>
      </c>
      <c r="E47" s="172"/>
      <c r="F47" s="173"/>
      <c r="G47" s="172"/>
      <c r="H47" s="172"/>
      <c r="I47" s="172"/>
      <c r="J47" s="172"/>
      <c r="K47" s="172"/>
      <c r="L47" s="172"/>
      <c r="N47" s="142">
        <f>(N10-N40)</f>
        <v>2.528299071995832E-2</v>
      </c>
    </row>
    <row r="48" spans="1:15" ht="17.25" x14ac:dyDescent="0.25">
      <c r="A48" s="143">
        <v>333.33332999999999</v>
      </c>
      <c r="B48" s="237">
        <v>333.33332999999999</v>
      </c>
      <c r="D48" s="174"/>
      <c r="E48" s="175"/>
      <c r="F48" s="176"/>
      <c r="G48" s="175"/>
      <c r="H48" s="175"/>
      <c r="I48" s="175"/>
      <c r="J48" s="175"/>
      <c r="K48" s="140" t="s">
        <v>287</v>
      </c>
      <c r="L48" s="140" t="s">
        <v>288</v>
      </c>
    </row>
    <row r="49" spans="1:15" x14ac:dyDescent="0.25">
      <c r="A49" s="143">
        <v>3333.3332999999998</v>
      </c>
      <c r="B49" s="237">
        <v>3333.3332999999998</v>
      </c>
      <c r="D49" s="159" t="str">
        <f t="shared" ref="D49:I49" si="4">D6</f>
        <v>δ13CVPDB</v>
      </c>
      <c r="E49" s="141" t="str">
        <f t="shared" si="4"/>
        <v>δ18OVSMOW</v>
      </c>
      <c r="F49" s="160" t="str">
        <f t="shared" si="4"/>
        <v>δ47</v>
      </c>
      <c r="G49" s="161" t="str">
        <f t="shared" si="4"/>
        <v>Δ47 vs. ref</v>
      </c>
      <c r="H49" s="156" t="str">
        <f t="shared" si="4"/>
        <v>linear fit, matrix only</v>
      </c>
      <c r="I49" s="156" t="str">
        <f t="shared" si="4"/>
        <v>Δ47, slope corr.</v>
      </c>
      <c r="J49" s="149"/>
      <c r="K49" s="140" t="str">
        <f>K6</f>
        <v>calc δ13C</v>
      </c>
      <c r="L49" s="140" t="str">
        <f>L6</f>
        <v>calc δ18O</v>
      </c>
      <c r="M49" s="140" t="str">
        <f>M6</f>
        <v>calc δ17O, from δ18O</v>
      </c>
      <c r="N49" s="145" t="str">
        <f>N6</f>
        <v>δ13C calc - δ13C init</v>
      </c>
      <c r="O49" s="145" t="str">
        <f>O6</f>
        <v>(δ13C - δ18O)</v>
      </c>
    </row>
    <row r="50" spans="1:15" x14ac:dyDescent="0.25">
      <c r="D50" s="207">
        <f>D15</f>
        <v>0</v>
      </c>
      <c r="E50" s="207">
        <f t="shared" ref="E50:O50" si="5">E15</f>
        <v>50</v>
      </c>
      <c r="F50" s="189">
        <f t="shared" si="5"/>
        <v>50.491639261183387</v>
      </c>
      <c r="G50" s="208">
        <f t="shared" si="5"/>
        <v>-0.40634942761041959</v>
      </c>
      <c r="H50" s="188">
        <f t="shared" si="5"/>
        <v>-0.40638041219217108</v>
      </c>
      <c r="I50" s="188">
        <f t="shared" si="5"/>
        <v>-0.40479193623513154</v>
      </c>
      <c r="J50" s="177"/>
      <c r="K50" s="189">
        <f t="shared" si="5"/>
        <v>-7.3906663972111986E-3</v>
      </c>
      <c r="L50" s="189">
        <f t="shared" si="5"/>
        <v>50.009825956316419</v>
      </c>
      <c r="M50" s="189">
        <f t="shared" si="5"/>
        <v>26.100964354509813</v>
      </c>
      <c r="N50" s="209">
        <f t="shared" si="5"/>
        <v>-7.3906663972111986E-3</v>
      </c>
      <c r="O50" s="209">
        <f t="shared" si="5"/>
        <v>-50.017216622713633</v>
      </c>
    </row>
    <row r="51" spans="1:15" x14ac:dyDescent="0.25">
      <c r="D51" s="207">
        <f t="shared" ref="D51:I51" si="6">D16</f>
        <v>-10</v>
      </c>
      <c r="E51" s="207">
        <f t="shared" si="6"/>
        <v>50</v>
      </c>
      <c r="F51" s="189">
        <f t="shared" si="6"/>
        <v>40.345006169431045</v>
      </c>
      <c r="G51" s="208">
        <f t="shared" si="6"/>
        <v>-0.40497679959228261</v>
      </c>
      <c r="H51" s="188">
        <f t="shared" si="6"/>
        <v>-0.40606742386856232</v>
      </c>
      <c r="I51" s="188">
        <f t="shared" si="6"/>
        <v>-0.40373229654060333</v>
      </c>
      <c r="J51" s="177"/>
      <c r="K51" s="189">
        <f>K16</f>
        <v>-10.010705446992452</v>
      </c>
      <c r="L51" s="189">
        <f>L16</f>
        <v>50.010059291281109</v>
      </c>
      <c r="M51" s="189">
        <f>M16</f>
        <v>26.101084750064896</v>
      </c>
      <c r="N51" s="209">
        <f>N16</f>
        <v>-1.0705446992451684E-2</v>
      </c>
      <c r="O51" s="209">
        <f>O16</f>
        <v>-60.020764738273563</v>
      </c>
    </row>
    <row r="52" spans="1:15" x14ac:dyDescent="0.25">
      <c r="D52" s="207">
        <f t="shared" ref="D52:I52" si="7">D22</f>
        <v>-20</v>
      </c>
      <c r="E52" s="207">
        <f t="shared" si="7"/>
        <v>50</v>
      </c>
      <c r="F52" s="189">
        <f t="shared" si="7"/>
        <v>30.19837308689177</v>
      </c>
      <c r="G52" s="208">
        <f t="shared" si="7"/>
        <v>-0.40357277222891064</v>
      </c>
      <c r="H52" s="188">
        <f t="shared" si="7"/>
        <v>-0.40575443554523771</v>
      </c>
      <c r="I52" s="188">
        <f t="shared" si="7"/>
        <v>-0.40264125750055596</v>
      </c>
      <c r="J52" s="177"/>
      <c r="K52" s="189">
        <f>K22</f>
        <v>-20.014020228677044</v>
      </c>
      <c r="L52" s="189">
        <f>L22</f>
        <v>50.010292656689657</v>
      </c>
      <c r="M52" s="189">
        <f>M22</f>
        <v>26.101205161315868</v>
      </c>
      <c r="N52" s="209">
        <f>N22</f>
        <v>-1.4020228677043889E-2</v>
      </c>
      <c r="O52" s="209">
        <f>O22</f>
        <v>-70.024312885366697</v>
      </c>
    </row>
    <row r="53" spans="1:15" x14ac:dyDescent="0.25">
      <c r="D53" s="207">
        <f t="shared" ref="D53:I53" si="8">D28</f>
        <v>-30</v>
      </c>
      <c r="E53" s="207">
        <f t="shared" si="8"/>
        <v>50</v>
      </c>
      <c r="F53" s="189">
        <f t="shared" si="8"/>
        <v>20.05174001356913</v>
      </c>
      <c r="G53" s="208">
        <f t="shared" si="8"/>
        <v>-0.40213640750164092</v>
      </c>
      <c r="H53" s="188">
        <f t="shared" si="8"/>
        <v>-0.40544144722219744</v>
      </c>
      <c r="I53" s="188">
        <f t="shared" si="8"/>
        <v>-0.40151788109632652</v>
      </c>
      <c r="J53" s="177"/>
      <c r="K53" s="189">
        <f>K28</f>
        <v>-30.017335011451539</v>
      </c>
      <c r="L53" s="189">
        <f>L28</f>
        <v>50.010526052551405</v>
      </c>
      <c r="M53" s="189">
        <f>M28</f>
        <v>26.101325588267166</v>
      </c>
      <c r="N53" s="209">
        <f>N28</f>
        <v>-1.7335011451539373E-2</v>
      </c>
      <c r="O53" s="209">
        <f>O28</f>
        <v>-80.027861064002948</v>
      </c>
    </row>
    <row r="54" spans="1:15" x14ac:dyDescent="0.25">
      <c r="D54" s="207">
        <f t="shared" ref="D54:I54" si="9">D34</f>
        <v>-40</v>
      </c>
      <c r="E54" s="207">
        <f t="shared" si="9"/>
        <v>50</v>
      </c>
      <c r="F54" s="189">
        <f t="shared" si="9"/>
        <v>9.9051069494664468</v>
      </c>
      <c r="G54" s="208">
        <f t="shared" si="9"/>
        <v>-0.40066672968719352</v>
      </c>
      <c r="H54" s="188">
        <f t="shared" si="9"/>
        <v>-0.4051284588994416</v>
      </c>
      <c r="I54" s="188">
        <f t="shared" si="9"/>
        <v>-0.40036119160463496</v>
      </c>
      <c r="J54" s="177"/>
      <c r="K54" s="189">
        <f>K34</f>
        <v>-40.02064979531572</v>
      </c>
      <c r="L54" s="189">
        <f>L34</f>
        <v>50.010759478875897</v>
      </c>
      <c r="M54" s="189">
        <f>M34</f>
        <v>26.101446030923903</v>
      </c>
      <c r="N54" s="209">
        <f>N34</f>
        <v>-2.0649795315719643E-2</v>
      </c>
      <c r="O54" s="209">
        <f>O34</f>
        <v>-90.031409274191617</v>
      </c>
    </row>
    <row r="55" spans="1:15" x14ac:dyDescent="0.25">
      <c r="D55" s="207">
        <f t="shared" ref="D55:I55" si="10">D40</f>
        <v>-50</v>
      </c>
      <c r="E55" s="207">
        <f t="shared" si="10"/>
        <v>50</v>
      </c>
      <c r="F55" s="189">
        <f t="shared" si="10"/>
        <v>-0.24152610541328112</v>
      </c>
      <c r="G55" s="208">
        <f t="shared" si="10"/>
        <v>-0.39916272344553416</v>
      </c>
      <c r="H55" s="188">
        <f t="shared" si="10"/>
        <v>-0.4048154705769702</v>
      </c>
      <c r="I55" s="188">
        <f t="shared" si="10"/>
        <v>-0.39917017368544699</v>
      </c>
      <c r="J55" s="177"/>
      <c r="K55" s="189">
        <f>K40</f>
        <v>-50.0239645802707</v>
      </c>
      <c r="L55" s="189">
        <f>L40</f>
        <v>50.010992935672903</v>
      </c>
      <c r="M55" s="189">
        <f>M40</f>
        <v>26.101566489291848</v>
      </c>
      <c r="N55" s="209">
        <f>N40</f>
        <v>-2.3964580270700253E-2</v>
      </c>
      <c r="O55" s="209">
        <f>O40</f>
        <v>-100.0349575159436</v>
      </c>
    </row>
    <row r="56" spans="1:15" x14ac:dyDescent="0.25">
      <c r="D56" s="207">
        <f>D14</f>
        <v>0</v>
      </c>
      <c r="E56" s="207">
        <f t="shared" ref="E56:O56" si="11">E14</f>
        <v>40</v>
      </c>
      <c r="F56" s="189">
        <f t="shared" si="11"/>
        <v>40.30808390285312</v>
      </c>
      <c r="G56" s="208">
        <f t="shared" si="11"/>
        <v>-0.40711468543874751</v>
      </c>
      <c r="H56" s="188">
        <f t="shared" si="11"/>
        <v>-0.40606628494511687</v>
      </c>
      <c r="I56" s="188">
        <f t="shared" si="11"/>
        <v>-0.40587132131051368</v>
      </c>
      <c r="J56" s="177"/>
      <c r="K56" s="189">
        <f t="shared" si="11"/>
        <v>-5.6645808128585884E-3</v>
      </c>
      <c r="L56" s="189">
        <f t="shared" si="11"/>
        <v>40.009680280663318</v>
      </c>
      <c r="M56" s="189">
        <f t="shared" si="11"/>
        <v>20.929463531017323</v>
      </c>
      <c r="N56" s="209">
        <f t="shared" si="11"/>
        <v>-5.6645808128585884E-3</v>
      </c>
      <c r="O56" s="209">
        <f t="shared" si="11"/>
        <v>-40.01534486147618</v>
      </c>
    </row>
    <row r="57" spans="1:15" x14ac:dyDescent="0.25">
      <c r="D57" s="207">
        <f t="shared" ref="D57:I57" si="12">D17</f>
        <v>-10</v>
      </c>
      <c r="E57" s="207">
        <f t="shared" si="12"/>
        <v>40</v>
      </c>
      <c r="F57" s="189">
        <f t="shared" si="12"/>
        <v>30.25808562051191</v>
      </c>
      <c r="G57" s="208">
        <f t="shared" si="12"/>
        <v>-0.40575006376808442</v>
      </c>
      <c r="H57" s="188">
        <f t="shared" si="12"/>
        <v>-0.40575627746911802</v>
      </c>
      <c r="I57" s="188">
        <f t="shared" si="12"/>
        <v>-0.40481670711584944</v>
      </c>
      <c r="J57" s="177"/>
      <c r="K57" s="189">
        <f>K17</f>
        <v>-10.008979537159179</v>
      </c>
      <c r="L57" s="189">
        <f>L17</f>
        <v>40.009911931106146</v>
      </c>
      <c r="M57" s="189">
        <f>M17</f>
        <v>20.929583598495505</v>
      </c>
      <c r="N57" s="209">
        <f>N17</f>
        <v>-8.9795371591794293E-3</v>
      </c>
      <c r="O57" s="209">
        <f>O17</f>
        <v>-50.018891468265323</v>
      </c>
    </row>
    <row r="58" spans="1:15" x14ac:dyDescent="0.25">
      <c r="D58" s="207">
        <f t="shared" ref="D58:I58" si="13">D23</f>
        <v>-20</v>
      </c>
      <c r="E58" s="207">
        <f t="shared" si="13"/>
        <v>40</v>
      </c>
      <c r="F58" s="189">
        <f t="shared" si="13"/>
        <v>20.208087347209911</v>
      </c>
      <c r="G58" s="208">
        <f t="shared" si="13"/>
        <v>-0.40435418497297704</v>
      </c>
      <c r="H58" s="188">
        <f t="shared" si="13"/>
        <v>-0.40544626999339795</v>
      </c>
      <c r="I58" s="188">
        <f t="shared" si="13"/>
        <v>-0.40373083579646213</v>
      </c>
      <c r="J58" s="177"/>
      <c r="K58" s="189">
        <f>K23</f>
        <v>-20.01229449459052</v>
      </c>
      <c r="L58" s="189">
        <f>L23</f>
        <v>40.010143611738826</v>
      </c>
      <c r="M58" s="189">
        <f>M23</f>
        <v>20.929703681609624</v>
      </c>
      <c r="N58" s="209">
        <f>N23</f>
        <v>-1.2294494590520344E-2</v>
      </c>
      <c r="O58" s="209">
        <f>O23</f>
        <v>-60.022438106329346</v>
      </c>
    </row>
    <row r="59" spans="1:15" x14ac:dyDescent="0.25">
      <c r="D59" s="207">
        <f t="shared" ref="D59:I59" si="14">D29</f>
        <v>-30</v>
      </c>
      <c r="E59" s="207">
        <f t="shared" si="14"/>
        <v>40</v>
      </c>
      <c r="F59" s="189">
        <f t="shared" si="14"/>
        <v>10.158089082950239</v>
      </c>
      <c r="G59" s="208">
        <f t="shared" si="14"/>
        <v>-0.40292611511294485</v>
      </c>
      <c r="H59" s="188">
        <f t="shared" si="14"/>
        <v>-0.40513626251795681</v>
      </c>
      <c r="I59" s="188">
        <f t="shared" si="14"/>
        <v>-0.40261277341187107</v>
      </c>
      <c r="J59" s="177"/>
      <c r="K59" s="189">
        <f>K29</f>
        <v>-30.015609453107327</v>
      </c>
      <c r="L59" s="189">
        <f>L29</f>
        <v>40.010375322571349</v>
      </c>
      <c r="M59" s="189">
        <f>M29</f>
        <v>20.929823780363456</v>
      </c>
      <c r="N59" s="209">
        <f>N29</f>
        <v>-1.5609453107327198E-2</v>
      </c>
      <c r="O59" s="209">
        <f>O29</f>
        <v>-70.02598477567868</v>
      </c>
    </row>
    <row r="60" spans="1:15" x14ac:dyDescent="0.25">
      <c r="D60" s="207">
        <f t="shared" ref="D60:I60" si="15">D35</f>
        <v>-40</v>
      </c>
      <c r="E60" s="207">
        <f t="shared" si="15"/>
        <v>40</v>
      </c>
      <c r="F60" s="189">
        <f t="shared" si="15"/>
        <v>0.1080908277355519</v>
      </c>
      <c r="G60" s="208">
        <f t="shared" si="15"/>
        <v>-0.40146488270342839</v>
      </c>
      <c r="H60" s="188">
        <f t="shared" si="15"/>
        <v>-0.40482625504279468</v>
      </c>
      <c r="I60" s="188">
        <f t="shared" si="15"/>
        <v>-0.40146154847751675</v>
      </c>
      <c r="J60" s="177"/>
      <c r="K60" s="189">
        <f>K35</f>
        <v>-40.018924412709936</v>
      </c>
      <c r="L60" s="189">
        <f>L35</f>
        <v>40.010607063612809</v>
      </c>
      <c r="M60" s="189">
        <f>M35</f>
        <v>20.929943894762324</v>
      </c>
      <c r="N60" s="209">
        <f>N35</f>
        <v>-1.8924412709935723E-2</v>
      </c>
      <c r="O60" s="209">
        <f>O35</f>
        <v>-80.029531476322745</v>
      </c>
    </row>
    <row r="61" spans="1:15" x14ac:dyDescent="0.25">
      <c r="D61" s="207">
        <f t="shared" ref="D61:I61" si="16">D41</f>
        <v>-50</v>
      </c>
      <c r="E61" s="207">
        <f t="shared" si="16"/>
        <v>40</v>
      </c>
      <c r="F61" s="189">
        <f t="shared" si="16"/>
        <v>-9.9419074184309295</v>
      </c>
      <c r="G61" s="208">
        <f t="shared" si="16"/>
        <v>-0.39996947680354111</v>
      </c>
      <c r="H61" s="188">
        <f t="shared" si="16"/>
        <v>-0.40451624756791166</v>
      </c>
      <c r="I61" s="188">
        <f t="shared" si="16"/>
        <v>-0.40027615005251249</v>
      </c>
      <c r="J61" s="177"/>
      <c r="K61" s="189">
        <f>K41</f>
        <v>-50.022239373399337</v>
      </c>
      <c r="L61" s="189">
        <f>L41</f>
        <v>40.010838834872551</v>
      </c>
      <c r="M61" s="189">
        <f>M41</f>
        <v>20.930064024811568</v>
      </c>
      <c r="N61" s="209">
        <f>N41</f>
        <v>-2.2239373399337126E-2</v>
      </c>
      <c r="O61" s="209">
        <f>O41</f>
        <v>-90.033078208271888</v>
      </c>
    </row>
    <row r="62" spans="1:15" x14ac:dyDescent="0.25">
      <c r="D62" s="207">
        <f>D13</f>
        <v>0</v>
      </c>
      <c r="E62" s="207">
        <f t="shared" ref="E62:O62" si="17">E13</f>
        <v>20</v>
      </c>
      <c r="F62" s="189">
        <f t="shared" si="17"/>
        <v>19.948887028093274</v>
      </c>
      <c r="G62" s="208">
        <f t="shared" si="17"/>
        <v>-0.40865473897111482</v>
      </c>
      <c r="H62" s="188">
        <f t="shared" si="17"/>
        <v>-0.40543827456549336</v>
      </c>
      <c r="I62" s="188">
        <f t="shared" si="17"/>
        <v>-0.40803938522250449</v>
      </c>
      <c r="J62" s="177"/>
      <c r="K62" s="189">
        <f t="shared" si="17"/>
        <v>-2.1890411757707895E-3</v>
      </c>
      <c r="L62" s="189">
        <f t="shared" si="17"/>
        <v>20.009389699218616</v>
      </c>
      <c r="M62" s="189">
        <f t="shared" si="17"/>
        <v>10.515551592050087</v>
      </c>
      <c r="N62" s="209">
        <f t="shared" si="17"/>
        <v>-2.1890411757707895E-3</v>
      </c>
      <c r="O62" s="209">
        <f t="shared" si="17"/>
        <v>-20.011578740394388</v>
      </c>
    </row>
    <row r="63" spans="1:15" x14ac:dyDescent="0.25">
      <c r="D63" s="207">
        <f t="shared" ref="D63:I63" si="18">D18</f>
        <v>-10</v>
      </c>
      <c r="E63" s="207">
        <f t="shared" si="18"/>
        <v>30</v>
      </c>
      <c r="F63" s="189">
        <f t="shared" si="18"/>
        <v>20.17379900320071</v>
      </c>
      <c r="G63" s="208">
        <f t="shared" si="18"/>
        <v>-0.40652654119499587</v>
      </c>
      <c r="H63" s="188">
        <f t="shared" si="18"/>
        <v>-0.40544521231729852</v>
      </c>
      <c r="I63" s="188">
        <f t="shared" si="18"/>
        <v>-0.40590424969458039</v>
      </c>
      <c r="J63" s="177"/>
      <c r="K63" s="189">
        <f>K18</f>
        <v>-10.007245874760429</v>
      </c>
      <c r="L63" s="189">
        <f>L18</f>
        <v>30.009764823456521</v>
      </c>
      <c r="M63" s="189">
        <f>M18</f>
        <v>15.734558006527344</v>
      </c>
      <c r="N63" s="209">
        <f>N18</f>
        <v>-7.2458747604287055E-3</v>
      </c>
      <c r="O63" s="209">
        <f>O18</f>
        <v>-40.01701069821695</v>
      </c>
    </row>
    <row r="64" spans="1:15" x14ac:dyDescent="0.25">
      <c r="D64" s="207">
        <f t="shared" ref="D64:I64" si="19">D24</f>
        <v>-20</v>
      </c>
      <c r="E64" s="207">
        <f t="shared" si="19"/>
        <v>30</v>
      </c>
      <c r="F64" s="189">
        <f t="shared" si="19"/>
        <v>10.220435536924866</v>
      </c>
      <c r="G64" s="208">
        <f t="shared" si="19"/>
        <v>-0.4051388584322968</v>
      </c>
      <c r="H64" s="188">
        <f t="shared" si="19"/>
        <v>-0.40513818568911475</v>
      </c>
      <c r="I64" s="188">
        <f t="shared" si="19"/>
        <v>-0.40482359356006509</v>
      </c>
      <c r="J64" s="177"/>
      <c r="K64" s="189">
        <f>K24</f>
        <v>-20.0105610078406</v>
      </c>
      <c r="L64" s="189">
        <f>L24</f>
        <v>30.009994816485587</v>
      </c>
      <c r="M64" s="189">
        <f>M24</f>
        <v>15.734677759819071</v>
      </c>
      <c r="N64" s="209">
        <f>N24</f>
        <v>-1.0561007840600212E-2</v>
      </c>
      <c r="O64" s="209">
        <f>O24</f>
        <v>-50.020555824326188</v>
      </c>
    </row>
    <row r="65" spans="4:15" s="140" customFormat="1" x14ac:dyDescent="0.25">
      <c r="D65" s="207">
        <f t="shared" ref="D65:I65" si="20">D30</f>
        <v>-30</v>
      </c>
      <c r="E65" s="207">
        <f t="shared" si="20"/>
        <v>30</v>
      </c>
      <c r="F65" s="189">
        <f t="shared" si="20"/>
        <v>0.26707207951814915</v>
      </c>
      <c r="G65" s="208">
        <f t="shared" si="20"/>
        <v>-0.40371913173131713</v>
      </c>
      <c r="H65" s="188">
        <f t="shared" si="20"/>
        <v>-0.40483115906120459</v>
      </c>
      <c r="I65" s="188">
        <f t="shared" si="20"/>
        <v>-0.40371089348699557</v>
      </c>
      <c r="J65" s="177"/>
      <c r="K65" s="189">
        <f>K30</f>
        <v>-30.013876142001795</v>
      </c>
      <c r="L65" s="189">
        <f>L30</f>
        <v>30.010224839460477</v>
      </c>
      <c r="M65" s="189">
        <f>M30</f>
        <v>15.73479752868967</v>
      </c>
      <c r="N65" s="209">
        <f>N30</f>
        <v>-1.3876142001794989E-2</v>
      </c>
      <c r="O65" s="209">
        <f>O30</f>
        <v>-60.024100981462269</v>
      </c>
    </row>
    <row r="66" spans="4:15" s="140" customFormat="1" x14ac:dyDescent="0.25">
      <c r="D66" s="207">
        <f t="shared" ref="D66:I66" si="21">D36</f>
        <v>-40</v>
      </c>
      <c r="E66" s="207">
        <f t="shared" si="21"/>
        <v>30</v>
      </c>
      <c r="F66" s="189">
        <f t="shared" si="21"/>
        <v>-9.6862913690157768</v>
      </c>
      <c r="G66" s="208">
        <f t="shared" si="21"/>
        <v>-0.40226639386764518</v>
      </c>
      <c r="H66" s="188">
        <f t="shared" si="21"/>
        <v>-0.40452413243356811</v>
      </c>
      <c r="I66" s="188">
        <f t="shared" si="21"/>
        <v>-0.40256518225096011</v>
      </c>
      <c r="J66" s="177"/>
      <c r="K66" s="189">
        <f>K36</f>
        <v>-40.017191277244677</v>
      </c>
      <c r="L66" s="189">
        <f>L36</f>
        <v>30.010454892389848</v>
      </c>
      <c r="M66" s="189">
        <f>M36</f>
        <v>15.734917313145358</v>
      </c>
      <c r="N66" s="209">
        <f>N36</f>
        <v>-1.7191277244677394E-2</v>
      </c>
      <c r="O66" s="209">
        <f>O36</f>
        <v>-70.027646169634522</v>
      </c>
    </row>
    <row r="67" spans="4:15" s="140" customFormat="1" x14ac:dyDescent="0.25">
      <c r="D67" s="207">
        <f t="shared" ref="D67:I67" si="22">D42</f>
        <v>-50</v>
      </c>
      <c r="E67" s="207">
        <f t="shared" si="22"/>
        <v>30</v>
      </c>
      <c r="F67" s="189">
        <f t="shared" si="22"/>
        <v>-19.639654808674798</v>
      </c>
      <c r="G67" s="208">
        <f t="shared" si="22"/>
        <v>-0.40077963833062835</v>
      </c>
      <c r="H67" s="188">
        <f t="shared" si="22"/>
        <v>-0.4042171058062054</v>
      </c>
      <c r="I67" s="188">
        <f t="shared" si="22"/>
        <v>-0.40138545334130599</v>
      </c>
      <c r="J67" s="177"/>
      <c r="K67" s="189">
        <f>K42</f>
        <v>-50.020506413569919</v>
      </c>
      <c r="L67" s="189">
        <f>L42</f>
        <v>30.010684975283255</v>
      </c>
      <c r="M67" s="189">
        <f>M42</f>
        <v>15.735037113189909</v>
      </c>
      <c r="N67" s="209">
        <f>N42</f>
        <v>-2.0506413569918891E-2</v>
      </c>
      <c r="O67" s="209">
        <f>O42</f>
        <v>-80.031191388853173</v>
      </c>
    </row>
    <row r="68" spans="4:15" s="140" customFormat="1" x14ac:dyDescent="0.25">
      <c r="D68" s="207">
        <f>D12</f>
        <v>0</v>
      </c>
      <c r="E68" s="207">
        <f t="shared" ref="E68:O68" si="23">E12</f>
        <v>15</v>
      </c>
      <c r="F68" s="189">
        <f t="shared" si="23"/>
        <v>14.860745353233673</v>
      </c>
      <c r="G68" s="208">
        <f t="shared" si="23"/>
        <v>-0.40904176740419462</v>
      </c>
      <c r="H68" s="188">
        <f t="shared" si="23"/>
        <v>-0.40528132310004689</v>
      </c>
      <c r="I68" s="188">
        <f t="shared" si="23"/>
        <v>-0.40858336512103077</v>
      </c>
      <c r="J68" s="177"/>
      <c r="K68" s="189">
        <f t="shared" si="23"/>
        <v>-1.3152061145715876E-3</v>
      </c>
      <c r="L68" s="189">
        <f t="shared" si="23"/>
        <v>15.009317217041573</v>
      </c>
      <c r="M68" s="189">
        <f t="shared" si="23"/>
        <v>7.897052687533046</v>
      </c>
      <c r="N68" s="209">
        <f t="shared" si="23"/>
        <v>-1.3152061145715876E-3</v>
      </c>
      <c r="O68" s="209">
        <f t="shared" si="23"/>
        <v>-15.010632423156146</v>
      </c>
    </row>
    <row r="69" spans="4:15" s="140" customFormat="1" x14ac:dyDescent="0.25">
      <c r="D69" s="207">
        <f t="shared" ref="D69:I69" si="24">D19</f>
        <v>-10</v>
      </c>
      <c r="E69" s="207">
        <f t="shared" si="24"/>
        <v>20</v>
      </c>
      <c r="F69" s="189">
        <f t="shared" si="24"/>
        <v>10.09215835791899</v>
      </c>
      <c r="G69" s="208">
        <f t="shared" si="24"/>
        <v>-0.40730627072504966</v>
      </c>
      <c r="H69" s="188">
        <f t="shared" si="24"/>
        <v>-0.40513422878450894</v>
      </c>
      <c r="I69" s="188">
        <f t="shared" si="24"/>
        <v>-0.40699496275742375</v>
      </c>
      <c r="J69" s="177"/>
      <c r="K69" s="189">
        <f>K19</f>
        <v>-10.005504348728378</v>
      </c>
      <c r="L69" s="189">
        <f>L19</f>
        <v>20.009617972093885</v>
      </c>
      <c r="M69" s="189">
        <f>M19</f>
        <v>10.515670998294979</v>
      </c>
      <c r="N69" s="209">
        <f>N19</f>
        <v>-5.5043487283779058E-3</v>
      </c>
      <c r="O69" s="209">
        <f>O19</f>
        <v>-30.015122320822265</v>
      </c>
    </row>
    <row r="70" spans="4:15" s="140" customFormat="1" x14ac:dyDescent="0.25">
      <c r="D70" s="207">
        <f t="shared" ref="D70:I70" si="25">D25</f>
        <v>-20</v>
      </c>
      <c r="E70" s="207">
        <f t="shared" si="25"/>
        <v>20</v>
      </c>
      <c r="F70" s="189">
        <f t="shared" si="25"/>
        <v>0.23542969643974843</v>
      </c>
      <c r="G70" s="208">
        <f t="shared" si="25"/>
        <v>-0.40592683221274406</v>
      </c>
      <c r="H70" s="188">
        <f t="shared" si="25"/>
        <v>-0.40483018300379275</v>
      </c>
      <c r="I70" s="188">
        <f t="shared" si="25"/>
        <v>-0.40591957002583434</v>
      </c>
      <c r="J70" s="177"/>
      <c r="K70" s="189">
        <f>K25</f>
        <v>-20.008819657356682</v>
      </c>
      <c r="L70" s="189">
        <f>L25</f>
        <v>20.009846274651856</v>
      </c>
      <c r="M70" s="189">
        <f>M25</f>
        <v>10.515790420053461</v>
      </c>
      <c r="N70" s="209">
        <f>N25</f>
        <v>-8.819657356681887E-3</v>
      </c>
      <c r="O70" s="209">
        <f>O25</f>
        <v>-40.018665932008538</v>
      </c>
    </row>
    <row r="71" spans="4:15" s="140" customFormat="1" x14ac:dyDescent="0.25">
      <c r="D71" s="207">
        <f t="shared" ref="D71:I71" si="26">D31</f>
        <v>-30</v>
      </c>
      <c r="E71" s="207">
        <f t="shared" si="26"/>
        <v>20</v>
      </c>
      <c r="F71" s="189">
        <f t="shared" si="26"/>
        <v>-9.6212989563408957</v>
      </c>
      <c r="G71" s="208">
        <f t="shared" si="26"/>
        <v>-0.40451549772491102</v>
      </c>
      <c r="H71" s="188">
        <f t="shared" si="26"/>
        <v>-0.40452613722334485</v>
      </c>
      <c r="I71" s="188">
        <f t="shared" si="26"/>
        <v>-0.40481228131844921</v>
      </c>
      <c r="J71" s="177"/>
      <c r="K71" s="189">
        <f>K31</f>
        <v>-30.012134967062231</v>
      </c>
      <c r="L71" s="189">
        <f>L31</f>
        <v>20.010074606900741</v>
      </c>
      <c r="M71" s="189">
        <f>M31</f>
        <v>10.515909857330863</v>
      </c>
      <c r="N71" s="209">
        <f>N31</f>
        <v>-1.2134967062230828E-2</v>
      </c>
      <c r="O71" s="209">
        <f>O31</f>
        <v>-50.022209573962968</v>
      </c>
    </row>
    <row r="72" spans="4:15" s="140" customFormat="1" x14ac:dyDescent="0.25">
      <c r="D72" s="207">
        <f t="shared" ref="D72:I72" si="27">D37</f>
        <v>-40</v>
      </c>
      <c r="E72" s="207">
        <f t="shared" si="27"/>
        <v>20</v>
      </c>
      <c r="F72" s="189">
        <f t="shared" si="27"/>
        <v>-19.478027600420834</v>
      </c>
      <c r="G72" s="208">
        <f t="shared" si="27"/>
        <v>-0.40307130432815086</v>
      </c>
      <c r="H72" s="188">
        <f t="shared" si="27"/>
        <v>-0.40422209144316534</v>
      </c>
      <c r="I72" s="188">
        <f t="shared" si="27"/>
        <v>-0.40367213370186855</v>
      </c>
      <c r="J72" s="177"/>
      <c r="K72" s="189">
        <f>K37</f>
        <v>-40.015450277845254</v>
      </c>
      <c r="L72" s="189">
        <f>L37</f>
        <v>20.010302968850759</v>
      </c>
      <c r="M72" s="189">
        <f>M37</f>
        <v>10.516029310131403</v>
      </c>
      <c r="N72" s="209">
        <f>N37</f>
        <v>-1.5450277845253879E-2</v>
      </c>
      <c r="O72" s="209">
        <f>O37</f>
        <v>-60.025753246696013</v>
      </c>
    </row>
    <row r="73" spans="4:15" s="140" customFormat="1" x14ac:dyDescent="0.25">
      <c r="D73" s="207">
        <f t="shared" ref="D73:I73" si="28">D43</f>
        <v>-50</v>
      </c>
      <c r="E73" s="207">
        <f t="shared" si="28"/>
        <v>20</v>
      </c>
      <c r="F73" s="189">
        <f t="shared" si="28"/>
        <v>-29.334756235796956</v>
      </c>
      <c r="G73" s="208">
        <f t="shared" si="28"/>
        <v>-0.40159324996436041</v>
      </c>
      <c r="H73" s="188">
        <f t="shared" si="28"/>
        <v>-0.40391804566325429</v>
      </c>
      <c r="I73" s="188">
        <f t="shared" si="28"/>
        <v>-0.40249812511798916</v>
      </c>
      <c r="J73" s="177"/>
      <c r="K73" s="189">
        <f>K43</f>
        <v>-50.018765589706085</v>
      </c>
      <c r="L73" s="189">
        <f>L43</f>
        <v>20.010531360510342</v>
      </c>
      <c r="M73" s="189">
        <f>M43</f>
        <v>10.51614877846041</v>
      </c>
      <c r="N73" s="209">
        <f>N43</f>
        <v>-1.8765589706084995E-2</v>
      </c>
      <c r="O73" s="209">
        <f>O43</f>
        <v>-70.029296950216434</v>
      </c>
    </row>
    <row r="74" spans="4:15" s="140" customFormat="1" x14ac:dyDescent="0.25">
      <c r="D74" s="207">
        <f>D11</f>
        <v>0</v>
      </c>
      <c r="E74" s="207">
        <f t="shared" ref="E74:O74" si="29">E11</f>
        <v>10</v>
      </c>
      <c r="F74" s="189">
        <f t="shared" si="29"/>
        <v>9.7732697658741152</v>
      </c>
      <c r="G74" s="208">
        <f t="shared" si="29"/>
        <v>-0.40942961164569525</v>
      </c>
      <c r="H74" s="188">
        <f t="shared" si="29"/>
        <v>-0.40512439218108204</v>
      </c>
      <c r="I74" s="188">
        <f t="shared" si="29"/>
        <v>-0.40912814028149624</v>
      </c>
      <c r="J74" s="177"/>
      <c r="K74" s="189">
        <f t="shared" si="29"/>
        <v>-4.3936229121577242E-4</v>
      </c>
      <c r="L74" s="189">
        <f t="shared" si="29"/>
        <v>10.009244801122419</v>
      </c>
      <c r="M74" s="189">
        <f t="shared" si="29"/>
        <v>5.272458338904995</v>
      </c>
      <c r="N74" s="209">
        <f t="shared" si="29"/>
        <v>-4.3936229121577242E-4</v>
      </c>
      <c r="O74" s="209">
        <f t="shared" si="29"/>
        <v>-10.009684163413635</v>
      </c>
    </row>
    <row r="75" spans="4:15" s="140" customFormat="1" x14ac:dyDescent="0.25">
      <c r="D75" s="207">
        <f t="shared" ref="D75:I75" si="30">D20</f>
        <v>-10</v>
      </c>
      <c r="E75" s="207">
        <f t="shared" si="30"/>
        <v>10</v>
      </c>
      <c r="F75" s="189">
        <f t="shared" si="30"/>
        <v>1.3175898417427945E-2</v>
      </c>
      <c r="G75" s="208">
        <f t="shared" si="30"/>
        <v>-0.40808929198066224</v>
      </c>
      <c r="H75" s="188">
        <f t="shared" si="30"/>
        <v>-0.40482332724750097</v>
      </c>
      <c r="I75" s="188">
        <f t="shared" si="30"/>
        <v>-0.4080888855500443</v>
      </c>
      <c r="J75" s="177"/>
      <c r="K75" s="189">
        <f>K20</f>
        <v>-10.003754845294699</v>
      </c>
      <c r="L75" s="189">
        <f>L20</f>
        <v>10.009471380872936</v>
      </c>
      <c r="M75" s="189">
        <f>M20</f>
        <v>5.272577411941537</v>
      </c>
      <c r="N75" s="209">
        <f>N20</f>
        <v>-3.7548452946989386E-3</v>
      </c>
      <c r="O75" s="209">
        <f>O20</f>
        <v>-20.013226226167635</v>
      </c>
    </row>
    <row r="76" spans="4:15" s="140" customFormat="1" x14ac:dyDescent="0.25">
      <c r="D76" s="207">
        <f t="shared" ref="D76:I76" si="31">D26</f>
        <v>-20</v>
      </c>
      <c r="E76" s="207">
        <f t="shared" si="31"/>
        <v>10</v>
      </c>
      <c r="F76" s="189">
        <f t="shared" si="31"/>
        <v>-9.7469179605136347</v>
      </c>
      <c r="G76" s="208">
        <f t="shared" si="31"/>
        <v>-0.4067181467084513</v>
      </c>
      <c r="H76" s="188">
        <f t="shared" si="31"/>
        <v>-0.40452226231418298</v>
      </c>
      <c r="I76" s="188">
        <f t="shared" si="31"/>
        <v>-0.40701880521115136</v>
      </c>
      <c r="J76" s="177"/>
      <c r="K76" s="189">
        <f>K26</f>
        <v>-20.007070329369991</v>
      </c>
      <c r="L76" s="189">
        <f>L26</f>
        <v>10.009697990051247</v>
      </c>
      <c r="M76" s="189">
        <f>M26</f>
        <v>5.2726965004299409</v>
      </c>
      <c r="N76" s="209">
        <f>N26</f>
        <v>-7.0703293699914127E-3</v>
      </c>
      <c r="O76" s="209">
        <f>O26</f>
        <v>-30.016768319421239</v>
      </c>
    </row>
    <row r="77" spans="4:15" s="140" customFormat="1" x14ac:dyDescent="0.25">
      <c r="D77" s="207">
        <f t="shared" ref="D77:I77" si="32">D32</f>
        <v>-30</v>
      </c>
      <c r="E77" s="207">
        <f t="shared" si="32"/>
        <v>10</v>
      </c>
      <c r="F77" s="189">
        <f t="shared" si="32"/>
        <v>-19.507011810915408</v>
      </c>
      <c r="G77" s="208">
        <f t="shared" si="32"/>
        <v>-0.40531525427556225</v>
      </c>
      <c r="H77" s="188">
        <f t="shared" si="32"/>
        <v>-0.40422119738112799</v>
      </c>
      <c r="I77" s="188">
        <f t="shared" si="32"/>
        <v>-0.40591697771131729</v>
      </c>
      <c r="J77" s="177"/>
      <c r="K77" s="189">
        <f>K32</f>
        <v>-30.010385814517981</v>
      </c>
      <c r="L77" s="189">
        <f>L32</f>
        <v>10.009924628667122</v>
      </c>
      <c r="M77" s="189">
        <f>M32</f>
        <v>5.2728156043766461</v>
      </c>
      <c r="N77" s="209">
        <f>N32</f>
        <v>-1.0385814517981373E-2</v>
      </c>
      <c r="O77" s="209">
        <f>O32</f>
        <v>-40.020310443185103</v>
      </c>
    </row>
    <row r="78" spans="4:15" s="140" customFormat="1" x14ac:dyDescent="0.25">
      <c r="D78" s="207">
        <f t="shared" ref="D78:I78" si="33">D38</f>
        <v>-40</v>
      </c>
      <c r="E78" s="207">
        <f t="shared" si="33"/>
        <v>10</v>
      </c>
      <c r="F78" s="189">
        <f t="shared" si="33"/>
        <v>-29.267105652786118</v>
      </c>
      <c r="G78" s="208">
        <f t="shared" si="33"/>
        <v>-0.40387965606125675</v>
      </c>
      <c r="H78" s="188">
        <f t="shared" si="33"/>
        <v>-0.40392013244833624</v>
      </c>
      <c r="I78" s="188">
        <f t="shared" si="33"/>
        <v>-0.40478244442980355</v>
      </c>
      <c r="J78" s="177"/>
      <c r="K78" s="189">
        <f>K38</f>
        <v>-40.013701300739001</v>
      </c>
      <c r="L78" s="189">
        <f>L38</f>
        <v>10.010151296729441</v>
      </c>
      <c r="M78" s="189">
        <f>M38</f>
        <v>5.2729347237854274</v>
      </c>
      <c r="N78" s="209">
        <f>N38</f>
        <v>-1.3701300739000999E-2</v>
      </c>
      <c r="O78" s="209">
        <f>O38</f>
        <v>-50.023852597468441</v>
      </c>
    </row>
    <row r="79" spans="4:15" s="140" customFormat="1" x14ac:dyDescent="0.25">
      <c r="D79" s="207">
        <f t="shared" ref="D79:I79" si="34">D44</f>
        <v>-50</v>
      </c>
      <c r="E79" s="207">
        <f t="shared" si="34"/>
        <v>10</v>
      </c>
      <c r="F79" s="189">
        <f t="shared" si="34"/>
        <v>-39.027199486122655</v>
      </c>
      <c r="G79" s="208">
        <f t="shared" si="34"/>
        <v>-0.40241035449262164</v>
      </c>
      <c r="H79" s="188">
        <f t="shared" si="34"/>
        <v>-0.40361906751580767</v>
      </c>
      <c r="I79" s="188">
        <f t="shared" si="34"/>
        <v>-0.403614207793697</v>
      </c>
      <c r="J79" s="177"/>
      <c r="K79" s="189">
        <f>K44</f>
        <v>-50.017016788033828</v>
      </c>
      <c r="L79" s="189">
        <f>L44</f>
        <v>10.01037799424731</v>
      </c>
      <c r="M79" s="189">
        <f>M44</f>
        <v>5.2730538586611697</v>
      </c>
      <c r="N79" s="209">
        <f>N44</f>
        <v>-1.7016788033828334E-2</v>
      </c>
      <c r="O79" s="209">
        <f>O44</f>
        <v>-60.027394782281135</v>
      </c>
    </row>
    <row r="80" spans="4:15" s="140" customFormat="1" x14ac:dyDescent="0.25">
      <c r="D80" s="210">
        <f>D10</f>
        <v>0</v>
      </c>
      <c r="E80" s="210">
        <f t="shared" ref="E80:O80" si="35">E10</f>
        <v>0</v>
      </c>
      <c r="F80" s="205">
        <f t="shared" si="35"/>
        <v>-0.39967691698483687</v>
      </c>
      <c r="G80" s="211">
        <f t="shared" si="35"/>
        <v>-0.41020776750799737</v>
      </c>
      <c r="H80" s="212">
        <f t="shared" si="35"/>
        <v>-0.40481059217475113</v>
      </c>
      <c r="I80" s="212">
        <f t="shared" si="35"/>
        <v>-0.41022009615012928</v>
      </c>
      <c r="J80" s="178"/>
      <c r="K80" s="205">
        <f t="shared" si="35"/>
        <v>1.3184104492580673E-3</v>
      </c>
      <c r="L80" s="205">
        <f t="shared" si="35"/>
        <v>9.1001700663895235E-3</v>
      </c>
      <c r="M80" s="205">
        <f t="shared" si="35"/>
        <v>4.8048794756283542E-3</v>
      </c>
      <c r="N80" s="213">
        <f t="shared" si="35"/>
        <v>1.3184104492580673E-3</v>
      </c>
      <c r="O80" s="213">
        <f t="shared" si="35"/>
        <v>-7.7817596171314563E-3</v>
      </c>
    </row>
    <row r="81" spans="4:15" s="140" customFormat="1" x14ac:dyDescent="0.25">
      <c r="D81" s="207">
        <f t="shared" ref="D81:I81" si="36">D21</f>
        <v>-10</v>
      </c>
      <c r="E81" s="207">
        <f t="shared" si="36"/>
        <v>0</v>
      </c>
      <c r="F81" s="189">
        <f t="shared" si="36"/>
        <v>-10.06313598399322</v>
      </c>
      <c r="G81" s="208">
        <f t="shared" si="36"/>
        <v>-0.40887564537028798</v>
      </c>
      <c r="H81" s="188">
        <f t="shared" si="36"/>
        <v>-0.40451250808850348</v>
      </c>
      <c r="I81" s="188">
        <f t="shared" si="36"/>
        <v>-0.40918605809866754</v>
      </c>
      <c r="J81" s="177"/>
      <c r="K81" s="189">
        <f>K21</f>
        <v>-10.001997247901517</v>
      </c>
      <c r="L81" s="189">
        <f>L21</f>
        <v>9.3250537427369551E-3</v>
      </c>
      <c r="M81" s="189">
        <f>M21</f>
        <v>4.9236175407862959E-3</v>
      </c>
      <c r="N81" s="209">
        <f>N21</f>
        <v>-1.9972479015173406E-3</v>
      </c>
      <c r="O81" s="209">
        <f>O21</f>
        <v>-10.011322301644254</v>
      </c>
    </row>
    <row r="82" spans="4:15" s="140" customFormat="1" x14ac:dyDescent="0.25">
      <c r="D82" s="207">
        <f t="shared" ref="D82:I82" si="37">D27</f>
        <v>-20</v>
      </c>
      <c r="E82" s="207">
        <f t="shared" si="37"/>
        <v>0</v>
      </c>
      <c r="F82" s="189">
        <f t="shared" si="37"/>
        <v>-19.726595042643623</v>
      </c>
      <c r="G82" s="208">
        <f t="shared" si="37"/>
        <v>-0.40751284312179337</v>
      </c>
      <c r="H82" s="188">
        <f t="shared" si="37"/>
        <v>-0.40421442400251367</v>
      </c>
      <c r="I82" s="188">
        <f t="shared" si="37"/>
        <v>-0.40812133993616273</v>
      </c>
      <c r="J82" s="177"/>
      <c r="K82" s="189">
        <f>K27</f>
        <v>-20.005312907319773</v>
      </c>
      <c r="L82" s="189">
        <f>L27</f>
        <v>9.5499665926368493E-3</v>
      </c>
      <c r="M82" s="189">
        <f>M27</f>
        <v>5.0423709965219388E-3</v>
      </c>
      <c r="N82" s="209">
        <f>N27</f>
        <v>-5.3129073197730747E-3</v>
      </c>
      <c r="O82" s="209">
        <f>O27</f>
        <v>-20.01486287391241</v>
      </c>
    </row>
    <row r="83" spans="4:15" s="140" customFormat="1" x14ac:dyDescent="0.25">
      <c r="D83" s="207">
        <f t="shared" ref="D83:I83" si="38">D33</f>
        <v>-30</v>
      </c>
      <c r="E83" s="207">
        <f t="shared" si="38"/>
        <v>0</v>
      </c>
      <c r="F83" s="189">
        <f t="shared" si="38"/>
        <v>-29.390054092933049</v>
      </c>
      <c r="G83" s="208">
        <f t="shared" si="38"/>
        <v>-0.40611844339055736</v>
      </c>
      <c r="H83" s="188">
        <f t="shared" si="38"/>
        <v>-0.40391633991678177</v>
      </c>
      <c r="I83" s="188">
        <f t="shared" si="38"/>
        <v>-0.40702502429065862</v>
      </c>
      <c r="J83" s="177"/>
      <c r="K83" s="189">
        <f>K33</f>
        <v>-30.008628567806838</v>
      </c>
      <c r="L83" s="189">
        <f>L33</f>
        <v>9.7749086263032581E-3</v>
      </c>
      <c r="M83" s="189">
        <f>M33</f>
        <v>5.1611398483863979E-3</v>
      </c>
      <c r="N83" s="209">
        <f>N33</f>
        <v>-8.6285678068378502E-3</v>
      </c>
      <c r="O83" s="209">
        <f>O33</f>
        <v>-30.018403476433143</v>
      </c>
    </row>
    <row r="84" spans="4:15" s="140" customFormat="1" x14ac:dyDescent="0.25">
      <c r="D84" s="207">
        <f t="shared" ref="D84:I84" si="39">D39</f>
        <v>-40</v>
      </c>
      <c r="E84" s="207">
        <f t="shared" si="39"/>
        <v>0</v>
      </c>
      <c r="F84" s="189">
        <f t="shared" si="39"/>
        <v>-39.053513134858832</v>
      </c>
      <c r="G84" s="208">
        <f t="shared" si="39"/>
        <v>-0.4046914918961475</v>
      </c>
      <c r="H84" s="188">
        <f t="shared" si="39"/>
        <v>-0.40361825583130784</v>
      </c>
      <c r="I84" s="188">
        <f t="shared" si="39"/>
        <v>-0.4058961568817227</v>
      </c>
      <c r="J84" s="177"/>
      <c r="K84" s="189">
        <f>K39</f>
        <v>-40.011944229362165</v>
      </c>
      <c r="L84" s="189">
        <f>L39</f>
        <v>9.9998798521738763E-3</v>
      </c>
      <c r="M84" s="189">
        <f>M39</f>
        <v>5.2799241012646547E-3</v>
      </c>
      <c r="N84" s="209">
        <f>N39</f>
        <v>-1.1944229362164549E-2</v>
      </c>
      <c r="O84" s="209">
        <f>O39</f>
        <v>-40.021944109214338</v>
      </c>
    </row>
    <row r="85" spans="4:15" s="140" customFormat="1" x14ac:dyDescent="0.25">
      <c r="D85" s="207">
        <f t="shared" ref="D85:I85" si="40">D45</f>
        <v>-50</v>
      </c>
      <c r="E85" s="207">
        <f t="shared" si="40"/>
        <v>0</v>
      </c>
      <c r="F85" s="189">
        <f t="shared" si="40"/>
        <v>-48.716972168418749</v>
      </c>
      <c r="G85" s="208">
        <f t="shared" si="40"/>
        <v>-0.40323099557570963</v>
      </c>
      <c r="H85" s="188">
        <f t="shared" si="40"/>
        <v>-0.40332017174609203</v>
      </c>
      <c r="I85" s="188">
        <f t="shared" si="40"/>
        <v>-0.40473374464650064</v>
      </c>
      <c r="J85" s="177"/>
      <c r="K85" s="189">
        <f>K45</f>
        <v>-50.015259891987519</v>
      </c>
      <c r="L85" s="189">
        <f>L45</f>
        <v>1.0224880278908444E-2</v>
      </c>
      <c r="M85" s="189">
        <f>M45</f>
        <v>5.3987237593755566E-3</v>
      </c>
      <c r="N85" s="209">
        <f>N45</f>
        <v>-1.525989198751887E-2</v>
      </c>
      <c r="O85" s="209">
        <f>O45</f>
        <v>-50.025484772266424</v>
      </c>
    </row>
    <row r="86" spans="4:15" s="140" customFormat="1" x14ac:dyDescent="0.25">
      <c r="D86" s="177"/>
      <c r="E86" s="177"/>
      <c r="F86" s="177"/>
      <c r="G86" s="177"/>
      <c r="H86" s="177"/>
      <c r="I86" s="177"/>
      <c r="J86" s="177"/>
      <c r="K86" s="177"/>
      <c r="L86" s="177"/>
      <c r="M86" s="177"/>
      <c r="N86" s="177"/>
      <c r="O86" s="177"/>
    </row>
    <row r="87" spans="4:15" s="140" customFormat="1" x14ac:dyDescent="0.25">
      <c r="D87" s="177"/>
      <c r="E87" s="177"/>
      <c r="F87" s="177"/>
      <c r="G87" s="177"/>
      <c r="H87" s="177"/>
      <c r="I87" s="177"/>
      <c r="J87" s="177"/>
      <c r="K87" s="177"/>
      <c r="L87" s="177"/>
      <c r="M87" s="177"/>
      <c r="N87" s="177"/>
      <c r="O87" s="177"/>
    </row>
    <row r="88" spans="4:15" s="140" customFormat="1" x14ac:dyDescent="0.25">
      <c r="D88" s="177"/>
      <c r="E88" s="177"/>
      <c r="F88" s="177"/>
      <c r="G88" s="177"/>
      <c r="H88" s="177"/>
      <c r="I88" s="177"/>
      <c r="J88" s="177"/>
      <c r="K88" s="177"/>
      <c r="L88" s="177"/>
      <c r="M88" s="177"/>
      <c r="N88" s="177"/>
      <c r="O88" s="177"/>
    </row>
    <row r="91" spans="4:15" s="140" customFormat="1" x14ac:dyDescent="0.25">
      <c r="D91" s="177"/>
      <c r="E91" s="177"/>
      <c r="F91" s="177"/>
      <c r="G91" s="177"/>
      <c r="H91" s="177"/>
      <c r="I91" s="177"/>
      <c r="J91" s="177"/>
      <c r="K91" s="177"/>
      <c r="L91" s="177"/>
      <c r="M91" s="177"/>
      <c r="N91" s="177"/>
      <c r="O91" s="177"/>
    </row>
  </sheetData>
  <sortState xmlns:xlrd2="http://schemas.microsoft.com/office/spreadsheetml/2017/richdata2" ref="D49:O84">
    <sortCondition ref="E49:E84"/>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I57"/>
  <sheetViews>
    <sheetView topLeftCell="BS1" zoomScaleNormal="100" workbookViewId="0">
      <selection activeCell="BB22" sqref="BB22:BC22"/>
    </sheetView>
  </sheetViews>
  <sheetFormatPr defaultRowHeight="15" x14ac:dyDescent="0.25"/>
  <cols>
    <col min="1" max="1" width="12.42578125" customWidth="1"/>
    <col min="2" max="3" width="9.28515625" bestFit="1" customWidth="1"/>
    <col min="4" max="4" width="13.7109375" customWidth="1"/>
    <col min="5" max="5" width="12" customWidth="1"/>
    <col min="6" max="6" width="10.85546875" customWidth="1"/>
    <col min="7" max="8" width="9.28515625" bestFit="1" customWidth="1"/>
    <col min="9" max="9" width="12.140625" customWidth="1"/>
    <col min="10" max="10" width="14.140625" customWidth="1"/>
    <col min="11" max="11" width="11.28515625" customWidth="1"/>
    <col min="12" max="12" width="15.7109375" customWidth="1"/>
    <col min="13" max="14" width="9.28515625" bestFit="1" customWidth="1"/>
    <col min="15" max="15" width="12.140625" bestFit="1" customWidth="1"/>
    <col min="16" max="17" width="9.28515625" bestFit="1" customWidth="1"/>
    <col min="18" max="18" width="12.140625" bestFit="1" customWidth="1"/>
    <col min="19" max="19" width="12" style="1" customWidth="1"/>
    <col min="20" max="20" width="12" customWidth="1"/>
    <col min="21" max="21" width="12.5703125" customWidth="1"/>
    <col min="22" max="22" width="12" customWidth="1"/>
    <col min="23" max="23" width="13.140625" customWidth="1"/>
    <col min="24" max="24" width="11.85546875" customWidth="1"/>
    <col min="25" max="25" width="9.28515625" style="6" bestFit="1" customWidth="1"/>
    <col min="26" max="28" width="9.28515625" style="17" bestFit="1" customWidth="1"/>
    <col min="29" max="31" width="9.140625" style="17"/>
    <col min="32" max="33" width="9.28515625" style="17" bestFit="1" customWidth="1"/>
    <col min="34" max="34" width="12.140625" style="17" bestFit="1" customWidth="1"/>
    <col min="35" max="35" width="12.85546875" style="1" bestFit="1" customWidth="1"/>
    <col min="36" max="38" width="9.28515625" bestFit="1" customWidth="1"/>
    <col min="39" max="39" width="12.85546875" bestFit="1" customWidth="1"/>
    <col min="40" max="42" width="9.28515625" bestFit="1" customWidth="1"/>
    <col min="43" max="43" width="12.7109375" bestFit="1" customWidth="1"/>
    <col min="44" max="46" width="9.28515625" bestFit="1" customWidth="1"/>
    <col min="47" max="47" width="12.85546875" bestFit="1" customWidth="1"/>
    <col min="48" max="48" width="11.7109375" customWidth="1"/>
    <col min="49" max="50" width="9.28515625" bestFit="1" customWidth="1"/>
    <col min="51" max="51" width="12.7109375" bestFit="1" customWidth="1"/>
    <col min="52" max="53" width="9.28515625" bestFit="1" customWidth="1"/>
    <col min="54" max="54" width="10.7109375" customWidth="1"/>
    <col min="55" max="56" width="12.140625" bestFit="1" customWidth="1"/>
    <col min="57" max="57" width="9.28515625" bestFit="1" customWidth="1"/>
    <col min="58" max="58" width="10.7109375" customWidth="1"/>
    <col min="59" max="59" width="10.42578125" customWidth="1"/>
    <col min="60" max="60" width="9.28515625" bestFit="1" customWidth="1"/>
    <col min="61" max="61" width="9.140625" customWidth="1"/>
    <col min="62" max="64" width="9.28515625" bestFit="1" customWidth="1"/>
    <col min="65" max="65" width="11.85546875" customWidth="1"/>
    <col min="66" max="67" width="9.28515625" bestFit="1" customWidth="1"/>
    <col min="68" max="68" width="9.28515625" style="36" customWidth="1"/>
    <col min="69" max="71" width="9.28515625" bestFit="1" customWidth="1"/>
    <col min="72" max="72" width="12.140625" bestFit="1" customWidth="1"/>
    <col min="73" max="73" width="9.28515625" bestFit="1" customWidth="1"/>
    <col min="74" max="74" width="12.85546875" bestFit="1" customWidth="1"/>
    <col min="75" max="75" width="12.140625" style="11" bestFit="1" customWidth="1"/>
    <col min="76" max="76" width="9.28515625" style="80" bestFit="1" customWidth="1"/>
    <col min="77" max="79" width="9.28515625" bestFit="1" customWidth="1"/>
    <col min="80" max="80" width="9.140625" style="12"/>
    <col min="81" max="81" width="12.140625" bestFit="1" customWidth="1"/>
    <col min="82" max="82" width="12" bestFit="1" customWidth="1"/>
    <col min="84" max="84" width="12" style="85" bestFit="1" customWidth="1"/>
    <col min="85" max="85" width="9.140625" style="85"/>
  </cols>
  <sheetData>
    <row r="1" spans="1:85" s="36" customFormat="1" ht="15.75" thickBot="1" x14ac:dyDescent="0.3">
      <c r="A1" s="16" t="s">
        <v>109</v>
      </c>
      <c r="K1" s="16" t="s">
        <v>391</v>
      </c>
      <c r="S1" s="3"/>
      <c r="Y1" s="6"/>
      <c r="Z1" s="6"/>
      <c r="AA1" s="6"/>
      <c r="AB1" s="6"/>
      <c r="AC1" s="6"/>
      <c r="AD1" s="6"/>
      <c r="AE1" s="6"/>
      <c r="AF1" s="6"/>
      <c r="AG1" s="6"/>
      <c r="AH1" s="6"/>
      <c r="AI1" s="1"/>
      <c r="BX1" s="11"/>
      <c r="BY1" s="80"/>
      <c r="CC1" s="12"/>
      <c r="CF1" s="85"/>
      <c r="CG1" s="85"/>
    </row>
    <row r="2" spans="1:85" s="36" customFormat="1" x14ac:dyDescent="0.25">
      <c r="A2" s="30" t="s">
        <v>112</v>
      </c>
      <c r="B2" s="30"/>
      <c r="C2" s="30"/>
      <c r="F2" s="35" t="s">
        <v>114</v>
      </c>
      <c r="G2" s="35"/>
      <c r="H2" s="35"/>
      <c r="I2" s="35"/>
      <c r="K2" s="16" t="s">
        <v>392</v>
      </c>
      <c r="R2" s="3"/>
      <c r="T2" s="93" t="s">
        <v>308</v>
      </c>
      <c r="U2" s="277"/>
      <c r="V2" s="90"/>
      <c r="W2" s="90"/>
      <c r="X2" s="90"/>
      <c r="Y2" s="132"/>
      <c r="Z2" s="6"/>
      <c r="AA2" s="6"/>
      <c r="AB2" s="6"/>
      <c r="AC2" s="6"/>
      <c r="AD2" s="6"/>
      <c r="AE2" s="6"/>
      <c r="AF2" s="6"/>
      <c r="AG2" s="6"/>
      <c r="AH2" s="6"/>
      <c r="AI2" s="1"/>
      <c r="BX2" s="11"/>
      <c r="BY2" s="80"/>
      <c r="CC2" s="12"/>
      <c r="CF2" s="85"/>
      <c r="CG2" s="85"/>
    </row>
    <row r="3" spans="1:85" s="36" customFormat="1" ht="15.75" thickBot="1" x14ac:dyDescent="0.3">
      <c r="A3" s="7" t="s">
        <v>113</v>
      </c>
      <c r="B3" s="7"/>
      <c r="C3" s="7"/>
      <c r="D3" s="7"/>
      <c r="E3" s="7"/>
      <c r="F3" s="24" t="s">
        <v>115</v>
      </c>
      <c r="G3" s="24"/>
      <c r="H3" s="24"/>
      <c r="I3" s="24"/>
      <c r="L3" s="3" t="s">
        <v>64</v>
      </c>
      <c r="M3"/>
      <c r="N3" t="s">
        <v>320</v>
      </c>
      <c r="O3" t="s">
        <v>88</v>
      </c>
      <c r="P3"/>
      <c r="Q3"/>
      <c r="R3" s="3"/>
      <c r="T3" s="88"/>
      <c r="V3" s="3" t="s">
        <v>444</v>
      </c>
      <c r="W3" s="14"/>
      <c r="X3" s="3" t="s">
        <v>312</v>
      </c>
      <c r="Y3" s="28"/>
      <c r="Z3" s="6"/>
      <c r="AA3" s="6"/>
      <c r="AB3" s="6"/>
      <c r="AC3" s="6"/>
      <c r="AD3" s="6"/>
      <c r="AE3" s="6"/>
      <c r="AF3" s="6"/>
      <c r="AG3" s="6"/>
      <c r="AH3" s="6"/>
      <c r="AI3" s="1"/>
      <c r="BX3" s="11"/>
      <c r="BY3" s="80"/>
      <c r="CC3" s="12"/>
      <c r="CF3" s="85"/>
      <c r="CG3" s="85"/>
    </row>
    <row r="4" spans="1:85" x14ac:dyDescent="0.25">
      <c r="A4" s="36"/>
      <c r="C4" s="16" t="s">
        <v>103</v>
      </c>
      <c r="E4" s="74"/>
      <c r="J4" s="25" t="s">
        <v>87</v>
      </c>
      <c r="K4" s="26"/>
      <c r="L4" s="3" t="s">
        <v>65</v>
      </c>
      <c r="M4">
        <f>O4</f>
        <v>16000</v>
      </c>
      <c r="N4">
        <f>M4+Q7</f>
        <v>16000</v>
      </c>
      <c r="O4" s="30">
        <f>'datapoints-plots'!A44</f>
        <v>16000</v>
      </c>
      <c r="P4" t="s">
        <v>66</v>
      </c>
      <c r="R4" s="3"/>
      <c r="T4" s="38"/>
      <c r="V4" s="3" t="s">
        <v>321</v>
      </c>
      <c r="W4" s="14"/>
      <c r="X4" s="3" t="s">
        <v>314</v>
      </c>
      <c r="Y4" s="28"/>
      <c r="Z4" s="6"/>
      <c r="AA4" s="6"/>
      <c r="AB4" s="6"/>
      <c r="AC4" s="6"/>
      <c r="AD4" s="6"/>
      <c r="AE4" s="6"/>
      <c r="AF4" s="6"/>
      <c r="AG4" s="6"/>
      <c r="AH4" s="6"/>
      <c r="BW4" s="36"/>
      <c r="BX4" s="11"/>
      <c r="BY4" s="80"/>
      <c r="CB4"/>
      <c r="CC4" s="12"/>
    </row>
    <row r="5" spans="1:85" x14ac:dyDescent="0.25">
      <c r="A5" s="16" t="s">
        <v>54</v>
      </c>
      <c r="C5" s="16" t="s">
        <v>0</v>
      </c>
      <c r="D5" s="16" t="s">
        <v>100</v>
      </c>
      <c r="E5" s="91"/>
      <c r="F5" t="s">
        <v>1</v>
      </c>
      <c r="G5" t="s">
        <v>2</v>
      </c>
      <c r="H5" t="s">
        <v>3</v>
      </c>
      <c r="I5" t="s">
        <v>4</v>
      </c>
      <c r="J5" s="46" t="str">
        <f>'datapoints-plots'!A6</f>
        <v>BAC (2010 IUPAC)</v>
      </c>
      <c r="K5" s="31" t="str">
        <f>'datapoints-plots'!B6</f>
        <v>A&amp;B</v>
      </c>
      <c r="L5" s="3" t="s">
        <v>67</v>
      </c>
      <c r="M5">
        <f>O5</f>
        <v>100</v>
      </c>
      <c r="N5" s="5"/>
      <c r="O5" s="30">
        <f>'datapoints-plots'!A47</f>
        <v>100</v>
      </c>
      <c r="P5" t="s">
        <v>144</v>
      </c>
      <c r="R5" s="3"/>
      <c r="T5" s="38" t="s">
        <v>315</v>
      </c>
      <c r="U5" s="16" t="s">
        <v>443</v>
      </c>
      <c r="V5" s="3" t="s">
        <v>309</v>
      </c>
      <c r="W5" s="14" t="s">
        <v>325</v>
      </c>
      <c r="X5" s="3"/>
      <c r="Y5" s="28" t="s">
        <v>313</v>
      </c>
      <c r="Z5" s="6"/>
      <c r="AA5" s="6"/>
      <c r="AB5" s="6"/>
      <c r="AC5" s="6"/>
      <c r="AD5" s="6"/>
      <c r="AE5" s="6"/>
      <c r="AF5" s="6"/>
      <c r="AG5" s="6"/>
      <c r="AH5" s="6"/>
      <c r="BW5" s="36"/>
      <c r="BX5" s="11"/>
      <c r="BY5" s="80"/>
      <c r="CB5"/>
      <c r="CC5" s="12"/>
    </row>
    <row r="6" spans="1:85" x14ac:dyDescent="0.25">
      <c r="B6" t="s">
        <v>5</v>
      </c>
      <c r="C6" s="33">
        <f t="shared" ref="C6:D9" si="0">J6</f>
        <v>2.0052E-3</v>
      </c>
      <c r="D6" s="33">
        <f t="shared" si="0"/>
        <v>2.0052E-3</v>
      </c>
      <c r="E6" s="92"/>
      <c r="F6">
        <v>2.0052E-3</v>
      </c>
      <c r="G6">
        <v>2.0052E-3</v>
      </c>
      <c r="H6">
        <v>2.0052E-3</v>
      </c>
      <c r="I6">
        <v>2.0052E-3</v>
      </c>
      <c r="J6" s="46">
        <f>'datapoints-plots'!A7</f>
        <v>2.0052E-3</v>
      </c>
      <c r="K6" s="31">
        <f>'datapoints-plots'!B7</f>
        <v>2.0052E-3</v>
      </c>
      <c r="L6" s="3" t="s">
        <v>68</v>
      </c>
      <c r="M6">
        <f>O6</f>
        <v>333.33332999999999</v>
      </c>
      <c r="N6" s="20"/>
      <c r="O6" s="30">
        <f>'datapoints-plots'!A48</f>
        <v>333.33332999999999</v>
      </c>
      <c r="P6" s="16" t="s">
        <v>408</v>
      </c>
      <c r="R6" s="3"/>
      <c r="T6" s="89" t="s">
        <v>153</v>
      </c>
      <c r="U6">
        <f>U19</f>
        <v>18818.145365715452</v>
      </c>
      <c r="V6" s="29">
        <f>'datapoints-plots'!A31*U$9/(U6*1000)</f>
        <v>0</v>
      </c>
      <c r="W6" s="126">
        <f>V6</f>
        <v>0</v>
      </c>
      <c r="X6" s="3"/>
      <c r="Y6" s="31">
        <f>'datapoints-plots'!A37</f>
        <v>1</v>
      </c>
      <c r="Z6" s="6"/>
      <c r="AA6" s="6"/>
      <c r="AB6" s="6"/>
      <c r="AC6" s="6"/>
      <c r="AD6" s="6"/>
      <c r="AE6" s="6"/>
      <c r="AF6" s="6"/>
      <c r="AG6" s="6"/>
      <c r="AH6" s="6"/>
      <c r="BW6" s="36"/>
      <c r="BX6" s="11"/>
      <c r="BY6" s="80"/>
      <c r="CB6"/>
      <c r="CC6" s="12"/>
    </row>
    <row r="7" spans="1:85" x14ac:dyDescent="0.25">
      <c r="B7" t="s">
        <v>7</v>
      </c>
      <c r="C7" s="33">
        <f t="shared" si="0"/>
        <v>1.1180280000000001E-2</v>
      </c>
      <c r="D7" s="33">
        <f t="shared" si="0"/>
        <v>1.1180280000000001E-2</v>
      </c>
      <c r="E7" s="92"/>
      <c r="F7" s="2">
        <v>4.0200000000000001E-4</v>
      </c>
      <c r="G7" s="2">
        <v>3.8499999999999998E-4</v>
      </c>
      <c r="H7" s="2">
        <v>4.0200000000000001E-4</v>
      </c>
      <c r="I7" s="2">
        <v>3.8000000000000002E-4</v>
      </c>
      <c r="J7" s="46">
        <f>'datapoints-plots'!A8</f>
        <v>1.1180280000000001E-2</v>
      </c>
      <c r="K7" s="31">
        <f>'datapoints-plots'!B8</f>
        <v>1.1180280000000001E-2</v>
      </c>
      <c r="L7" s="3" t="s">
        <v>69</v>
      </c>
      <c r="M7">
        <f>O7</f>
        <v>3333.3332999999998</v>
      </c>
      <c r="N7" s="20"/>
      <c r="O7" s="30">
        <f>'datapoints-plots'!A49</f>
        <v>3333.3332999999998</v>
      </c>
      <c r="Q7" s="30">
        <f>'datapoints-plots'!A42</f>
        <v>0</v>
      </c>
      <c r="R7" s="3"/>
      <c r="T7" s="89" t="s">
        <v>151</v>
      </c>
      <c r="U7">
        <f>V19</f>
        <v>21097.070999059899</v>
      </c>
      <c r="V7" s="29">
        <f>'datapoints-plots'!A32*U$9/(U7*1000)</f>
        <v>0</v>
      </c>
      <c r="W7" s="126">
        <f>V7</f>
        <v>0</v>
      </c>
      <c r="X7" s="3"/>
      <c r="Y7" s="31">
        <f>'datapoints-plots'!A38</f>
        <v>1</v>
      </c>
      <c r="Z7" s="6"/>
      <c r="AA7" s="6"/>
      <c r="AB7" s="6"/>
      <c r="AC7" s="6"/>
      <c r="AD7" s="6"/>
      <c r="AE7" s="6"/>
      <c r="AF7" s="6"/>
      <c r="AG7" s="6"/>
      <c r="AH7" s="6"/>
      <c r="BW7" s="36"/>
      <c r="BX7" s="11"/>
      <c r="BY7" s="80"/>
      <c r="CB7"/>
      <c r="CC7" s="12"/>
    </row>
    <row r="8" spans="1:85" x14ac:dyDescent="0.25">
      <c r="B8" t="s">
        <v>8</v>
      </c>
      <c r="C8" s="33">
        <f t="shared" si="0"/>
        <v>0.52800000000000002</v>
      </c>
      <c r="D8" s="33">
        <f t="shared" si="0"/>
        <v>0.52800000000000002</v>
      </c>
      <c r="E8" s="92"/>
      <c r="F8" s="2">
        <v>1.1237199999999999E-2</v>
      </c>
      <c r="G8" s="2">
        <v>1.18028E-2</v>
      </c>
      <c r="H8" s="2">
        <v>1.18028E-2</v>
      </c>
      <c r="I8" s="2">
        <v>1.1237199999999999E-2</v>
      </c>
      <c r="J8" s="46">
        <f>'datapoints-plots'!A9</f>
        <v>0.52800000000000002</v>
      </c>
      <c r="K8" s="31">
        <f>'datapoints-plots'!B9</f>
        <v>0.52800000000000002</v>
      </c>
      <c r="O8" t="s">
        <v>139</v>
      </c>
      <c r="P8" s="34" t="s">
        <v>143</v>
      </c>
      <c r="R8" s="3"/>
      <c r="T8" s="89" t="s">
        <v>152</v>
      </c>
      <c r="U8">
        <f>W19</f>
        <v>2436.8994331812187</v>
      </c>
      <c r="V8" s="29">
        <f>'datapoints-plots'!A33*U$9/(U8*1000)</f>
        <v>0</v>
      </c>
      <c r="W8" s="126">
        <f>V8</f>
        <v>0</v>
      </c>
      <c r="X8" s="3"/>
      <c r="Y8" s="31">
        <f>'datapoints-plots'!A39</f>
        <v>1</v>
      </c>
      <c r="Z8" s="6"/>
      <c r="AA8" s="6"/>
      <c r="AB8" s="6"/>
      <c r="AC8" s="6"/>
      <c r="AD8" s="6"/>
      <c r="AE8" s="6"/>
      <c r="AF8" s="6"/>
      <c r="AG8" s="6"/>
      <c r="AH8" s="6"/>
      <c r="BW8" s="36"/>
      <c r="BX8" s="11"/>
      <c r="BY8" s="80"/>
      <c r="CB8"/>
      <c r="CC8" s="12"/>
    </row>
    <row r="9" spans="1:85" ht="15.75" thickBot="1" x14ac:dyDescent="0.3">
      <c r="B9" t="s">
        <v>9</v>
      </c>
      <c r="C9" s="33">
        <f t="shared" si="0"/>
        <v>1.022461E-2</v>
      </c>
      <c r="D9" s="33">
        <f t="shared" si="0"/>
        <v>1.027689E-2</v>
      </c>
      <c r="E9" s="92"/>
      <c r="F9" s="2">
        <v>0.51600000000000001</v>
      </c>
      <c r="G9" s="2">
        <v>0.52800000000000002</v>
      </c>
      <c r="H9" s="2">
        <v>0.51600000000000001</v>
      </c>
      <c r="I9" s="2">
        <v>0.51639999999999997</v>
      </c>
      <c r="J9" s="46">
        <f>'datapoints-plots'!A10</f>
        <v>1.022461E-2</v>
      </c>
      <c r="K9" s="31">
        <f>'datapoints-plots'!B10</f>
        <v>1.027689E-2</v>
      </c>
      <c r="L9" s="126" t="s">
        <v>70</v>
      </c>
      <c r="M9" s="33">
        <f t="shared" ref="M9:M14" si="1">O9</f>
        <v>0</v>
      </c>
      <c r="N9" s="127">
        <f>O9+P9</f>
        <v>0</v>
      </c>
      <c r="O9" s="252">
        <f>'datapoints-plots'!A20</f>
        <v>0</v>
      </c>
      <c r="P9" s="30">
        <f>'datapoints-plots'!B20</f>
        <v>0</v>
      </c>
      <c r="Q9" t="s">
        <v>129</v>
      </c>
      <c r="R9" s="3"/>
      <c r="T9" s="79" t="s">
        <v>310</v>
      </c>
      <c r="U9" s="75">
        <f>T19</f>
        <v>15747.729355188072</v>
      </c>
      <c r="V9" s="29">
        <f>'datapoints-plots'!A34/1000</f>
        <v>0</v>
      </c>
      <c r="W9" s="126">
        <f>V9</f>
        <v>0</v>
      </c>
      <c r="X9" s="9"/>
      <c r="Y9" s="49" t="s">
        <v>311</v>
      </c>
      <c r="Z9" s="3"/>
      <c r="AA9" s="6"/>
      <c r="AB9" s="6"/>
      <c r="AC9" s="6"/>
      <c r="AD9" s="6"/>
      <c r="AE9" s="6"/>
      <c r="AF9" s="6"/>
      <c r="AG9" s="6"/>
      <c r="AH9" s="6"/>
      <c r="BW9" s="36"/>
      <c r="BX9" s="11"/>
      <c r="BY9" s="80"/>
      <c r="CB9"/>
      <c r="CC9" s="12"/>
    </row>
    <row r="10" spans="1:85" x14ac:dyDescent="0.25">
      <c r="E10" s="11"/>
      <c r="F10" s="3"/>
      <c r="G10" s="3"/>
      <c r="H10" s="3"/>
      <c r="I10" s="3"/>
      <c r="J10" s="46"/>
      <c r="K10" s="31"/>
      <c r="L10" s="126" t="s">
        <v>71</v>
      </c>
      <c r="M10" s="33">
        <f t="shared" si="1"/>
        <v>0</v>
      </c>
      <c r="N10" s="127">
        <f>O10+P10</f>
        <v>0</v>
      </c>
      <c r="O10" s="252">
        <f>'datapoints-plots'!A21</f>
        <v>0</v>
      </c>
      <c r="P10" s="30">
        <f>'datapoints-plots'!B21</f>
        <v>0</v>
      </c>
      <c r="Q10" s="36" t="s">
        <v>129</v>
      </c>
      <c r="R10" s="3"/>
      <c r="S10" s="3"/>
      <c r="Z10" s="3"/>
      <c r="AA10" s="6"/>
      <c r="AB10" s="6"/>
      <c r="AC10" s="6"/>
      <c r="AD10" s="6"/>
      <c r="AE10" s="6"/>
      <c r="AF10" s="6"/>
      <c r="AG10" s="6"/>
      <c r="AH10" s="6"/>
      <c r="AQ10">
        <v>2.4062704163393981E-3</v>
      </c>
      <c r="AS10">
        <v>2.4062699752733486E-3</v>
      </c>
      <c r="BW10" s="36"/>
      <c r="BX10" s="11"/>
      <c r="BY10" s="80"/>
      <c r="CB10"/>
      <c r="CC10" s="12"/>
    </row>
    <row r="11" spans="1:85" x14ac:dyDescent="0.25">
      <c r="B11" t="s">
        <v>6</v>
      </c>
      <c r="C11" s="35">
        <f>C9*C6^C8</f>
        <v>3.8475654393587772E-4</v>
      </c>
      <c r="D11" s="35">
        <f>D9*D6^D8</f>
        <v>3.867238631898119E-4</v>
      </c>
      <c r="E11" s="92"/>
      <c r="F11" s="2">
        <v>9.9240000000000005E-3</v>
      </c>
      <c r="G11" s="2">
        <v>1.0226000000000001E-2</v>
      </c>
      <c r="H11" s="2">
        <v>9.9240000000000005E-3</v>
      </c>
      <c r="I11" s="2">
        <v>9.3939999999999996E-3</v>
      </c>
      <c r="J11" s="46">
        <f>'datapoints-plots'!A12</f>
        <v>3.8475654393587772E-4</v>
      </c>
      <c r="K11" s="31">
        <f>'datapoints-plots'!B12</f>
        <v>3.867238631898119E-4</v>
      </c>
      <c r="L11" s="126" t="s">
        <v>72</v>
      </c>
      <c r="M11" s="33">
        <f t="shared" si="1"/>
        <v>0</v>
      </c>
      <c r="N11" s="127">
        <f>O11+P11</f>
        <v>0</v>
      </c>
      <c r="O11" s="252">
        <f>'datapoints-plots'!A22</f>
        <v>0</v>
      </c>
      <c r="P11" s="30">
        <f>'datapoints-plots'!B22</f>
        <v>0</v>
      </c>
      <c r="Q11" s="36" t="s">
        <v>129</v>
      </c>
      <c r="R11" s="3"/>
      <c r="S11" s="78"/>
      <c r="T11" s="3"/>
      <c r="Z11" s="6"/>
      <c r="AA11" s="6"/>
      <c r="AB11" s="6"/>
      <c r="AC11" s="6"/>
      <c r="AD11" s="6"/>
      <c r="AE11" s="6"/>
      <c r="AF11" s="6"/>
      <c r="AG11" s="6"/>
      <c r="AH11" s="6"/>
      <c r="AI11" s="1" t="s">
        <v>161</v>
      </c>
      <c r="BW11" s="36"/>
      <c r="BX11" s="11"/>
      <c r="BY11" s="80"/>
      <c r="CB11"/>
      <c r="CC11" s="12"/>
    </row>
    <row r="12" spans="1:85" x14ac:dyDescent="0.25">
      <c r="B12" t="s">
        <v>10</v>
      </c>
      <c r="C12" s="35">
        <f>1/(1+C6+C11)</f>
        <v>0.99761574172971967</v>
      </c>
      <c r="D12" s="35">
        <f>1/(1+D6+D11)</f>
        <v>0.99761378378431931</v>
      </c>
      <c r="E12" s="92"/>
      <c r="F12">
        <f>1/(1+F6+F7)</f>
        <v>0.99759858069654728</v>
      </c>
      <c r="G12">
        <f>1/(1+G6+G7)</f>
        <v>0.99761549943325467</v>
      </c>
      <c r="H12">
        <f>1/(1+H6+H7)</f>
        <v>0.99759858069654728</v>
      </c>
      <c r="I12">
        <f>1/(1+I6+I7)</f>
        <v>0.99762047564149992</v>
      </c>
      <c r="J12" s="46">
        <f>'datapoints-plots'!A13</f>
        <v>0.99761574172971967</v>
      </c>
      <c r="K12" s="31">
        <f>'datapoints-plots'!B13</f>
        <v>0.99761378378431931</v>
      </c>
      <c r="L12" s="126" t="s">
        <v>82</v>
      </c>
      <c r="M12" s="33">
        <f t="shared" si="1"/>
        <v>0</v>
      </c>
      <c r="N12" s="127">
        <f>O12+P12</f>
        <v>0</v>
      </c>
      <c r="O12" s="252">
        <f>'datapoints-plots'!A23</f>
        <v>0</v>
      </c>
      <c r="P12" s="30">
        <f>'datapoints-plots'!B23</f>
        <v>0</v>
      </c>
      <c r="Q12" s="36" t="s">
        <v>129</v>
      </c>
      <c r="S12" s="3"/>
      <c r="T12" s="3"/>
      <c r="Z12" s="6"/>
      <c r="AA12" s="6"/>
      <c r="AB12" s="6"/>
      <c r="AC12" s="6"/>
      <c r="AD12" s="6"/>
      <c r="AE12" s="6"/>
      <c r="AF12" s="6"/>
      <c r="AG12" s="6"/>
      <c r="AH12" s="6"/>
      <c r="AI12" s="1" t="s">
        <v>155</v>
      </c>
      <c r="BW12" s="36"/>
      <c r="BX12" s="11"/>
      <c r="BY12" s="80"/>
      <c r="CB12"/>
      <c r="CC12" s="12"/>
    </row>
    <row r="13" spans="1:85" x14ac:dyDescent="0.25">
      <c r="B13" s="3" t="s">
        <v>11</v>
      </c>
      <c r="C13" s="35">
        <f>1/(1+C7)</f>
        <v>0.98894333659275868</v>
      </c>
      <c r="D13" s="35">
        <f>1/(1+D7)</f>
        <v>0.98894333659275868</v>
      </c>
      <c r="E13" s="92"/>
      <c r="F13" s="3">
        <f>1/(1+F8)</f>
        <v>0.98888767145828882</v>
      </c>
      <c r="G13" s="3">
        <f>1/(1+G8)</f>
        <v>0.98833488106575718</v>
      </c>
      <c r="H13" s="3">
        <f>1/(1+H8)</f>
        <v>0.98833488106575718</v>
      </c>
      <c r="I13" s="3">
        <f>1/(1+I8)</f>
        <v>0.98888767145828882</v>
      </c>
      <c r="J13" s="46">
        <f>'datapoints-plots'!A14</f>
        <v>0.98894333659275868</v>
      </c>
      <c r="K13" s="31">
        <f>'datapoints-plots'!B14</f>
        <v>0.98894333659275868</v>
      </c>
      <c r="L13" s="128" t="s">
        <v>73</v>
      </c>
      <c r="M13" s="129">
        <f t="shared" si="1"/>
        <v>0.9</v>
      </c>
      <c r="N13" s="136"/>
      <c r="O13" s="253">
        <f>'datapoints-plots'!A25</f>
        <v>0.9</v>
      </c>
      <c r="P13" s="16"/>
      <c r="Q13" t="s">
        <v>75</v>
      </c>
      <c r="Z13" s="6" t="s">
        <v>86</v>
      </c>
      <c r="AA13" s="11"/>
      <c r="AB13" s="11"/>
      <c r="AC13" s="11"/>
      <c r="AD13" s="11"/>
      <c r="AE13" s="11"/>
      <c r="AF13" s="11"/>
      <c r="AG13" s="11"/>
      <c r="AH13" s="11"/>
      <c r="BW13" s="36"/>
      <c r="BX13" s="11"/>
      <c r="BY13" s="80"/>
      <c r="CB13"/>
      <c r="CC13" s="12"/>
    </row>
    <row r="14" spans="1:85" ht="15.75" thickBot="1" x14ac:dyDescent="0.3">
      <c r="A14" s="11"/>
      <c r="B14" s="23"/>
      <c r="C14" s="23"/>
      <c r="D14" s="23"/>
      <c r="E14" s="47"/>
      <c r="F14" s="23"/>
      <c r="G14" s="23"/>
      <c r="H14" s="23"/>
      <c r="I14" s="23"/>
      <c r="J14" s="48"/>
      <c r="K14" s="49"/>
      <c r="L14" s="128" t="s">
        <v>74</v>
      </c>
      <c r="M14" s="129">
        <f t="shared" si="1"/>
        <v>0.5</v>
      </c>
      <c r="N14" s="130">
        <f>O14+P14</f>
        <v>0.5</v>
      </c>
      <c r="O14" s="253">
        <f>'datapoints-plots'!A26</f>
        <v>0.5</v>
      </c>
      <c r="P14" s="254">
        <f>'datapoints-plots'!B26</f>
        <v>0</v>
      </c>
      <c r="Q14" t="s">
        <v>81</v>
      </c>
      <c r="R14" s="11"/>
      <c r="Z14" s="40" t="s">
        <v>108</v>
      </c>
      <c r="AA14" s="41"/>
      <c r="AB14" s="41"/>
      <c r="AC14" s="41"/>
      <c r="AD14" s="41"/>
      <c r="AE14" s="41"/>
      <c r="AF14" s="41"/>
      <c r="AG14" s="41"/>
      <c r="AH14" s="43"/>
      <c r="AI14" s="4" t="s">
        <v>160</v>
      </c>
      <c r="BE14" s="1" t="s">
        <v>12</v>
      </c>
      <c r="BW14" s="36"/>
      <c r="BX14" s="11"/>
      <c r="BY14" s="80"/>
      <c r="CB14"/>
      <c r="CC14" s="12"/>
    </row>
    <row r="15" spans="1:85" ht="15.75" thickBot="1" x14ac:dyDescent="0.3">
      <c r="A15" s="16" t="s">
        <v>92</v>
      </c>
      <c r="B15" s="16" t="s">
        <v>91</v>
      </c>
      <c r="C15" s="16" t="s">
        <v>25</v>
      </c>
      <c r="D15" s="29">
        <f>'datapoints-plots'!A16</f>
        <v>0</v>
      </c>
      <c r="E15" s="16" t="s">
        <v>26</v>
      </c>
      <c r="F15" s="30">
        <f>'datapoints-plots'!A17</f>
        <v>0</v>
      </c>
      <c r="G15" s="16" t="s">
        <v>95</v>
      </c>
      <c r="H15" s="37">
        <f>(F19/C11-1)*1000</f>
        <v>0</v>
      </c>
      <c r="J15" s="77" t="s">
        <v>102</v>
      </c>
      <c r="K15" s="27" t="s">
        <v>101</v>
      </c>
      <c r="L15" s="131" t="s">
        <v>133</v>
      </c>
      <c r="M15" s="33">
        <f>O15</f>
        <v>0</v>
      </c>
      <c r="O15" s="252">
        <f>'datapoints-plots'!A28</f>
        <v>0</v>
      </c>
      <c r="Q15" s="36" t="s">
        <v>131</v>
      </c>
      <c r="V15">
        <f>V28-V19</f>
        <v>1051.0921579169881</v>
      </c>
      <c r="Y15" s="11"/>
      <c r="Z15" s="42" t="s">
        <v>105</v>
      </c>
      <c r="AA15" s="35"/>
      <c r="AB15" s="35"/>
      <c r="AC15" s="35"/>
      <c r="AD15" s="35"/>
      <c r="AE15" s="35"/>
      <c r="AF15" s="35"/>
      <c r="AG15" s="35"/>
      <c r="AH15" s="18"/>
      <c r="AI15" s="1" t="s">
        <v>162</v>
      </c>
      <c r="BE15" s="1"/>
      <c r="BW15" s="36"/>
      <c r="BX15" s="11"/>
      <c r="BY15" s="80"/>
      <c r="CB15"/>
      <c r="CC15" s="12"/>
      <c r="CD15" s="16" t="s">
        <v>104</v>
      </c>
      <c r="CE15" s="11"/>
      <c r="CF15" s="86"/>
      <c r="CG15" s="86"/>
    </row>
    <row r="16" spans="1:85" s="11" customFormat="1" x14ac:dyDescent="0.25">
      <c r="A16" s="74"/>
      <c r="B16" s="74" t="s">
        <v>289</v>
      </c>
      <c r="C16" s="74" t="s">
        <v>25</v>
      </c>
      <c r="D16" s="125">
        <f>'datapoints-plots'!B16</f>
        <v>0</v>
      </c>
      <c r="E16" s="74" t="s">
        <v>26</v>
      </c>
      <c r="F16" s="30">
        <f>'datapoints-plots'!B17</f>
        <v>0</v>
      </c>
      <c r="G16" s="16" t="s">
        <v>95</v>
      </c>
      <c r="H16" s="37">
        <f>(F19/C11-1)*1000</f>
        <v>0</v>
      </c>
      <c r="J16" s="5"/>
      <c r="L16" s="131" t="s">
        <v>132</v>
      </c>
      <c r="M16" s="33">
        <f>O16</f>
        <v>0</v>
      </c>
      <c r="N16" s="127">
        <f>O16+P16</f>
        <v>0</v>
      </c>
      <c r="O16" s="252">
        <f>'datapoints-plots'!A29</f>
        <v>0</v>
      </c>
      <c r="P16" s="255">
        <f>'datapoints-plots'!B29</f>
        <v>0</v>
      </c>
      <c r="Q16" t="s">
        <v>462</v>
      </c>
      <c r="V16" s="11">
        <f>1000*(V28-V19)/V19</f>
        <v>49.821710225264233</v>
      </c>
      <c r="Z16" s="6"/>
      <c r="AI16" s="6"/>
      <c r="BE16" s="6"/>
      <c r="BY16" s="80"/>
      <c r="CC16" s="13"/>
      <c r="CD16" t="s">
        <v>163</v>
      </c>
      <c r="CE16"/>
      <c r="CF16" s="85"/>
      <c r="CG16" s="85"/>
    </row>
    <row r="17" spans="1:87" x14ac:dyDescent="0.25">
      <c r="A17" t="s">
        <v>107</v>
      </c>
      <c r="B17" t="s">
        <v>106</v>
      </c>
      <c r="D17" s="1" t="s">
        <v>13</v>
      </c>
      <c r="I17" t="s">
        <v>14</v>
      </c>
      <c r="N17" t="s">
        <v>15</v>
      </c>
      <c r="O17" s="1" t="s">
        <v>283</v>
      </c>
      <c r="S17"/>
      <c r="T17" s="1" t="s">
        <v>76</v>
      </c>
      <c r="X17" s="1" t="s">
        <v>83</v>
      </c>
      <c r="Y17"/>
      <c r="Z17" s="11"/>
      <c r="AA17" s="17" t="s">
        <v>59</v>
      </c>
      <c r="AB17" s="18"/>
      <c r="AC17" s="18"/>
      <c r="AD17" s="18" t="s">
        <v>85</v>
      </c>
      <c r="AE17" s="18"/>
      <c r="AF17" s="18"/>
      <c r="AG17" s="18" t="s">
        <v>63</v>
      </c>
      <c r="AH17" s="18"/>
      <c r="AI17" s="18"/>
      <c r="AJ17" s="1" t="s">
        <v>16</v>
      </c>
      <c r="AO17" t="s">
        <v>154</v>
      </c>
      <c r="AS17" s="1" t="s">
        <v>17</v>
      </c>
      <c r="AW17" s="1" t="s">
        <v>18</v>
      </c>
      <c r="BA17" s="1" t="s">
        <v>57</v>
      </c>
      <c r="BB17" s="1" t="s">
        <v>94</v>
      </c>
      <c r="BF17" s="1" t="s">
        <v>19</v>
      </c>
      <c r="BL17" t="s">
        <v>20</v>
      </c>
      <c r="BP17"/>
      <c r="BQ17" s="36"/>
      <c r="BR17" s="1" t="s">
        <v>21</v>
      </c>
      <c r="BV17" s="1" t="s">
        <v>22</v>
      </c>
      <c r="BW17"/>
      <c r="BX17" s="11"/>
      <c r="BY17" s="81" t="s">
        <v>23</v>
      </c>
      <c r="BZ17" t="s">
        <v>24</v>
      </c>
      <c r="CB17" s="1"/>
      <c r="CC17" s="12"/>
      <c r="CF17" s="85" t="s">
        <v>506</v>
      </c>
    </row>
    <row r="18" spans="1:87" ht="18.75" x14ac:dyDescent="0.35">
      <c r="B18" s="16" t="s">
        <v>25</v>
      </c>
      <c r="C18" s="16" t="s">
        <v>26</v>
      </c>
      <c r="D18" s="1" t="s">
        <v>27</v>
      </c>
      <c r="E18" t="s">
        <v>28</v>
      </c>
      <c r="F18" t="s">
        <v>29</v>
      </c>
      <c r="G18" t="s">
        <v>30</v>
      </c>
      <c r="H18" t="s">
        <v>31</v>
      </c>
      <c r="I18" s="1" t="s">
        <v>32</v>
      </c>
      <c r="J18" s="5" t="s">
        <v>33</v>
      </c>
      <c r="K18" s="5" t="s">
        <v>34</v>
      </c>
      <c r="L18" s="15" t="s">
        <v>35</v>
      </c>
      <c r="M18" s="5" t="s">
        <v>296</v>
      </c>
      <c r="N18" s="14" t="s">
        <v>37</v>
      </c>
      <c r="O18" s="108" t="s">
        <v>41</v>
      </c>
      <c r="P18" s="3" t="s">
        <v>38</v>
      </c>
      <c r="Q18" t="s">
        <v>39</v>
      </c>
      <c r="R18" t="s">
        <v>40</v>
      </c>
      <c r="S18" s="108" t="s">
        <v>284</v>
      </c>
      <c r="T18" s="1" t="s">
        <v>77</v>
      </c>
      <c r="U18" s="5" t="s">
        <v>78</v>
      </c>
      <c r="V18" s="5" t="s">
        <v>79</v>
      </c>
      <c r="W18" s="5" t="s">
        <v>80</v>
      </c>
      <c r="X18" s="1" t="s">
        <v>42</v>
      </c>
      <c r="Y18" t="s">
        <v>43</v>
      </c>
      <c r="Z18" s="11" t="s">
        <v>44</v>
      </c>
      <c r="AA18" s="17" t="s">
        <v>60</v>
      </c>
      <c r="AB18" s="18" t="s">
        <v>61</v>
      </c>
      <c r="AC18" s="18" t="s">
        <v>62</v>
      </c>
      <c r="AD18" s="18" t="s">
        <v>27</v>
      </c>
      <c r="AE18" s="18" t="s">
        <v>28</v>
      </c>
      <c r="AF18" s="18" t="s">
        <v>29</v>
      </c>
      <c r="AG18" s="18" t="s">
        <v>42</v>
      </c>
      <c r="AH18" s="18" t="s">
        <v>43</v>
      </c>
      <c r="AI18" s="18" t="s">
        <v>44</v>
      </c>
      <c r="AJ18" s="1" t="s">
        <v>245</v>
      </c>
      <c r="AK18" s="5" t="s">
        <v>246</v>
      </c>
      <c r="AL18" s="5" t="s">
        <v>45</v>
      </c>
      <c r="AM18" s="5" t="s">
        <v>46</v>
      </c>
      <c r="AN18" s="6" t="s">
        <v>156</v>
      </c>
      <c r="AO18" s="5" t="s">
        <v>28</v>
      </c>
      <c r="AP18" s="5" t="s">
        <v>29</v>
      </c>
      <c r="AQ18" s="5" t="s">
        <v>47</v>
      </c>
      <c r="AR18" s="5" t="s">
        <v>158</v>
      </c>
      <c r="AS18" s="6" t="s">
        <v>28</v>
      </c>
      <c r="AT18" s="5" t="s">
        <v>29</v>
      </c>
      <c r="AU18" s="5" t="s">
        <v>47</v>
      </c>
      <c r="AV18" s="5" t="s">
        <v>159</v>
      </c>
      <c r="AW18" s="6" t="s">
        <v>28</v>
      </c>
      <c r="AX18" s="5" t="s">
        <v>29</v>
      </c>
      <c r="AY18" s="5" t="s">
        <v>47</v>
      </c>
      <c r="AZ18" s="5" t="s">
        <v>157</v>
      </c>
      <c r="BA18" s="1" t="s">
        <v>58</v>
      </c>
      <c r="BB18" s="6" t="s">
        <v>48</v>
      </c>
      <c r="BC18" s="5" t="s">
        <v>49</v>
      </c>
      <c r="BD18" s="5" t="s">
        <v>93</v>
      </c>
      <c r="BE18" s="5" t="s">
        <v>50</v>
      </c>
      <c r="BF18" s="1" t="s">
        <v>27</v>
      </c>
      <c r="BG18" t="s">
        <v>28</v>
      </c>
      <c r="BH18" t="s">
        <v>29</v>
      </c>
      <c r="BI18" t="s">
        <v>30</v>
      </c>
      <c r="BJ18" t="s">
        <v>31</v>
      </c>
      <c r="BK18" t="s">
        <v>206</v>
      </c>
      <c r="BL18" s="1" t="s">
        <v>32</v>
      </c>
      <c r="BM18" s="5" t="s">
        <v>52</v>
      </c>
      <c r="BN18" s="5" t="s">
        <v>34</v>
      </c>
      <c r="BO18" s="5" t="s">
        <v>53</v>
      </c>
      <c r="BP18" s="6" t="s">
        <v>36</v>
      </c>
      <c r="BQ18" s="5" t="s">
        <v>97</v>
      </c>
      <c r="BR18" s="1" t="s">
        <v>38</v>
      </c>
      <c r="BS18" t="s">
        <v>42</v>
      </c>
      <c r="BT18" t="s">
        <v>43</v>
      </c>
      <c r="BU18" s="3" t="s">
        <v>44</v>
      </c>
      <c r="BV18" s="1" t="s">
        <v>42</v>
      </c>
      <c r="BW18" t="s">
        <v>43</v>
      </c>
      <c r="BX18" s="11" t="s">
        <v>44</v>
      </c>
      <c r="BY18" s="81" t="s">
        <v>150</v>
      </c>
      <c r="BZ18" s="5" t="s">
        <v>208</v>
      </c>
      <c r="CA18" t="s">
        <v>25</v>
      </c>
      <c r="CB18" s="1" t="s">
        <v>26</v>
      </c>
      <c r="CC18" s="12" t="s">
        <v>96</v>
      </c>
      <c r="CD18" t="s">
        <v>55</v>
      </c>
      <c r="CE18" t="s">
        <v>56</v>
      </c>
      <c r="CF18" s="85" t="s">
        <v>504</v>
      </c>
      <c r="CG18" s="330" t="s">
        <v>505</v>
      </c>
    </row>
    <row r="19" spans="1:87" x14ac:dyDescent="0.25">
      <c r="A19" t="s">
        <v>51</v>
      </c>
      <c r="B19" s="30">
        <f>D15</f>
        <v>0</v>
      </c>
      <c r="C19" s="30">
        <f>F15</f>
        <v>0</v>
      </c>
      <c r="D19" s="1">
        <f>(1+(B19+D16)/1000)*C$7</f>
        <v>1.1180280000000001E-2</v>
      </c>
      <c r="E19" s="3">
        <f>(1+(C19+F16)/1000)*$C$6</f>
        <v>2.0052E-3</v>
      </c>
      <c r="F19" s="39">
        <f>$C$9*E19^$C$8*(1+M$15/1000)</f>
        <v>3.8475654393587772E-4</v>
      </c>
      <c r="G19">
        <f t="shared" ref="G19:G51" si="2">1/(1+D19)</f>
        <v>0.98894333659275868</v>
      </c>
      <c r="H19">
        <f t="shared" ref="H19:H51" si="3">1/(1+E19+F19)</f>
        <v>0.99761574172971967</v>
      </c>
      <c r="I19" s="1">
        <f t="shared" ref="I19:I51" si="4">D19*G19</f>
        <v>1.1056663407241289E-2</v>
      </c>
      <c r="J19" s="14">
        <f>1000*((D19/D$19)*(1+B$19/1000) -1)</f>
        <v>0</v>
      </c>
      <c r="K19" s="3">
        <f t="shared" ref="K19:K51" si="5">E19*H19</f>
        <v>2.0004190853164338E-3</v>
      </c>
      <c r="L19" s="14">
        <f>1000*((E19/E$19)*(1+C$19/1000) -1)</f>
        <v>0</v>
      </c>
      <c r="M19" s="3">
        <f>F19*H19</f>
        <v>3.8383918496395411E-4</v>
      </c>
      <c r="N19" s="14">
        <f t="shared" ref="N19:N51" si="6">H19+K19+M19</f>
        <v>1</v>
      </c>
      <c r="O19" s="108">
        <f t="shared" ref="O19:O57" si="7">2*I19*K19*H19+2*G19*K19*M19*Y$8+I19*M19*M19</f>
        <v>4.565077912785144E-5</v>
      </c>
      <c r="P19" s="3">
        <f>G19*(H19-O19*M13/1000)*(H19-O19*M13/1000)</f>
        <v>0.98423308469925452</v>
      </c>
      <c r="Q19" s="3">
        <f>(I19-O19*M13/1000)*(H19-O19*M13/1000)*(H19-O19*M13/1000)+2*G19*(H19-O19*M13/1000)*M19*Y$6</f>
        <v>1.1761340853572158E-2</v>
      </c>
      <c r="R19" s="3">
        <f>2*(K19-O19*M13/1000)*(H19-O19*M13/1000)*G19+2*(I19-O19*M13/1000)*(H19-O19*M13/1000)*M19*Y$7+G19*M19*M19</f>
        <v>3.9557008518807399E-3</v>
      </c>
      <c r="S19" s="108">
        <f>O19*(1+M13/1000)</f>
        <v>4.5691864829066501E-5</v>
      </c>
      <c r="T19" s="1">
        <f>P19*$M$4+M$12</f>
        <v>15747.729355188072</v>
      </c>
      <c r="U19" s="1">
        <f>Q19*$M$4*$M$5+M$9</f>
        <v>18818.145365715452</v>
      </c>
      <c r="V19" s="1">
        <f>R19*$M$4*$M$6+M$10</f>
        <v>21097.070999059899</v>
      </c>
      <c r="W19" s="1">
        <f>S19*$M$4*$M$7+M$11</f>
        <v>2436.8994331812187</v>
      </c>
      <c r="X19" s="1">
        <f>U19/T19</f>
        <v>1.1949751574512446</v>
      </c>
      <c r="Y19">
        <f t="shared" ref="Y19:Y51" si="8">V19/T19</f>
        <v>1.3396897116541753</v>
      </c>
      <c r="Z19" s="11">
        <f t="shared" ref="Z19:Z51" si="9">W19/T19</f>
        <v>0.15474608295693021</v>
      </c>
      <c r="AA19" s="17">
        <f>X19/X$19</f>
        <v>1</v>
      </c>
      <c r="AB19" s="17">
        <f t="shared" ref="AB19:AC36" si="10">Y19/Y$19</f>
        <v>1</v>
      </c>
      <c r="AC19" s="17">
        <f t="shared" si="10"/>
        <v>1</v>
      </c>
      <c r="AD19" s="18">
        <f>(1+B19/1000)*D$7</f>
        <v>1.1180280000000001E-2</v>
      </c>
      <c r="AE19" s="18">
        <f>(1+C19/1000)*D$6</f>
        <v>2.0052E-3</v>
      </c>
      <c r="AF19" s="18">
        <f>D$9*AE19^D$8</f>
        <v>3.867238631898119E-4</v>
      </c>
      <c r="AG19" s="18">
        <f>AD19+2*AF19</f>
        <v>1.1953727726379624E-2</v>
      </c>
      <c r="AH19" s="18">
        <f>2*AE19+2*AD19*AF19+AF19*AF19</f>
        <v>4.0191969174926479E-3</v>
      </c>
      <c r="AI19" s="18">
        <f>2*AD19*AE19+2*AE19*AF19+AD19*AF19*AF19</f>
        <v>4.6389984363584235E-5</v>
      </c>
      <c r="AJ19" s="1">
        <f t="shared" ref="AJ19:AJ57" si="11">C19</f>
        <v>0</v>
      </c>
      <c r="AK19" s="3">
        <f>AH19/2</f>
        <v>2.0095984587463239E-3</v>
      </c>
      <c r="AL19">
        <f t="shared" ref="AL19:AL57" si="12">D$9*AK19^D$8</f>
        <v>3.8717152812943202E-4</v>
      </c>
      <c r="AM19">
        <f t="shared" ref="AM19:AM51" si="13">1/(1+AK19+AL19)</f>
        <v>0.99760896078415429</v>
      </c>
      <c r="AN19" s="1">
        <f t="shared" ref="AN19:AN51" si="14">-3*AL19*AL19+2*AG19*AL19+2*AK19-AH19</f>
        <v>8.8065806847486411E-6</v>
      </c>
      <c r="AO19" s="3">
        <f>AK19-AN19/2.0022</f>
        <v>2.0052000067011994E-3</v>
      </c>
      <c r="AP19" s="3">
        <f t="shared" ref="AP19:AP57" si="15">D$9*AO19^D$8</f>
        <v>3.8672386387219736E-4</v>
      </c>
      <c r="AQ19" s="3">
        <f t="shared" ref="AQ19:AQ51" si="16">1/(1+AO19+AP19)</f>
        <v>0.99761378377697085</v>
      </c>
      <c r="AR19" s="14">
        <f t="shared" ref="AR19:AR51" si="17">-3*AP19*AP19+2*AG19*AP19+2*AO19-AH19</f>
        <v>1.3417129386683602E-11</v>
      </c>
      <c r="AS19" s="3">
        <f>AO19-AR19/2.0022</f>
        <v>2.005200000000006E-3</v>
      </c>
      <c r="AT19" s="3">
        <f t="shared" ref="AT19:AT51" si="18">$D$9*AS19^$D$8</f>
        <v>3.8672386318981238E-4</v>
      </c>
      <c r="AU19" s="3">
        <f t="shared" ref="AU19:AU51" si="19">1/(1+AS19+AT19)</f>
        <v>0.99761378378431931</v>
      </c>
      <c r="AV19">
        <f t="shared" ref="AV19:AV51" si="20">-3*AT19*AT19+2*$AG19*AT19+2*AS19-$AH19</f>
        <v>1.214306433183765E-17</v>
      </c>
      <c r="AW19" s="1">
        <f>AS19-AV19/2.0022</f>
        <v>2.0052E-3</v>
      </c>
      <c r="AX19" s="3">
        <f t="shared" ref="AX19:AX51" si="21">$D$9*AW19^$D$8</f>
        <v>3.867238631898119E-4</v>
      </c>
      <c r="AY19" s="3">
        <f t="shared" ref="AY19:AY51" si="22">1/(1+AW19+AX19)</f>
        <v>0.99761378378431931</v>
      </c>
      <c r="AZ19">
        <f t="shared" ref="AZ19:AZ51" si="23">-3*AX19*AX19+2*$AG19*AX19+2*AW19-$AH19</f>
        <v>0</v>
      </c>
      <c r="BA19" s="1">
        <f t="shared" ref="BA19:BA51" si="24">AG19-2*AX19</f>
        <v>1.1180280000000001E-2</v>
      </c>
      <c r="BB19" s="1">
        <f t="shared" ref="BB19:BB57" si="25">1000*((BA19/BA$19)*(1+B$19/1000) -1)</f>
        <v>0</v>
      </c>
      <c r="BC19" s="3">
        <f t="shared" ref="BC19:BC57" si="26">1000*((AW19/AW$19)*(1+C$19/1000) -1)</f>
        <v>0</v>
      </c>
      <c r="BD19" s="3">
        <f>1000*(AX19/AX$19 -1)</f>
        <v>0</v>
      </c>
      <c r="BE19">
        <f t="shared" ref="BE19:BE51" si="27">2*BA19*AW19+ 2*AX19*AW19+BA19*AX19*AX19</f>
        <v>4.6389984363584235E-5</v>
      </c>
      <c r="BF19" s="1">
        <f t="shared" ref="BF19:BF51" si="28">(1+BB19/1000)*$D$7</f>
        <v>1.1180280000000001E-2</v>
      </c>
      <c r="BG19" s="1">
        <f t="shared" ref="BG19:BG51" si="29">(1+BC19/1000)*$D$6</f>
        <v>2.0052E-3</v>
      </c>
      <c r="BH19">
        <f t="shared" ref="BH19:BH51" si="30">$D$9*BG19^$D$8</f>
        <v>3.867238631898119E-4</v>
      </c>
      <c r="BI19">
        <f t="shared" ref="BI19:BI51" si="31">1/(1+BF19)</f>
        <v>0.98894333659275868</v>
      </c>
      <c r="BJ19">
        <f t="shared" ref="BJ19:BJ51" si="32">1/(1+BG19+BH19)</f>
        <v>0.99761378378431931</v>
      </c>
      <c r="BK19" s="14">
        <v>1</v>
      </c>
      <c r="BL19" s="3">
        <f t="shared" ref="BL19:BL51" si="33">BF19*BI19</f>
        <v>1.1056663407241289E-2</v>
      </c>
      <c r="BM19" s="1">
        <f t="shared" ref="BM19:BM57" si="34">1000*((BF19/BF$19)*(1+B$19/1000) -1)</f>
        <v>0</v>
      </c>
      <c r="BN19" s="14">
        <f>BG19*BJ19</f>
        <v>2.0004151592443171E-3</v>
      </c>
      <c r="BO19" s="108">
        <f t="shared" ref="BO19:BO57" si="35">1000*((BG19/BG$19)*(1+C$19/1000) -1)</f>
        <v>0</v>
      </c>
      <c r="BP19" s="3">
        <f t="shared" ref="BP19:BP51" si="36">BH19*BJ19</f>
        <v>3.8580105643647769E-4</v>
      </c>
      <c r="BQ19" s="1">
        <f t="shared" ref="BQ19:BQ57" si="37">1000*((BH19/BH$19)*(1+H$15/1000) -1)</f>
        <v>0</v>
      </c>
      <c r="BR19" s="1">
        <f t="shared" ref="BR19:BR51" si="38">BI19*BJ19*BJ19</f>
        <v>0.98422930241130346</v>
      </c>
      <c r="BS19">
        <f t="shared" ref="BS19:BS51" si="39">BF19*BK19*BK19+2*BK19*BH19*BK19</f>
        <v>1.1953727726379624E-2</v>
      </c>
      <c r="BT19">
        <f t="shared" ref="BT19:BT51" si="40">2*BG19*BK19*BK19+2*BF19*BH19*BK19+BK19*BH19*BH19</f>
        <v>4.0191969174926479E-3</v>
      </c>
      <c r="BU19" s="3">
        <f t="shared" ref="BU19:BU51" si="41">2*BF19*BG19*BK19+2*BK19*BG19*BH19+BF19*BH19*BH19</f>
        <v>4.6389984363584235E-5</v>
      </c>
      <c r="BV19" s="1">
        <f t="shared" ref="BV19:BV51" si="42">(BL19*BJ19*BJ19+2*BI19*BP19*BJ19)/BR19</f>
        <v>1.1953727726379626E-2</v>
      </c>
      <c r="BW19">
        <f t="shared" ref="BW19:BW51" si="43">(2*BN19*BJ19*BI19+2*BL19*BP19*BJ19+BI19*BP19*BP19)/BR19</f>
        <v>4.0191969174926496E-3</v>
      </c>
      <c r="BX19" s="11">
        <f t="shared" ref="BX19:BX51" si="44">(2*BL19*BN19*BJ19+2*BI19*BN19*BP19+BL19*BP19*BP19)/BR19</f>
        <v>4.6389984363584235E-5</v>
      </c>
      <c r="BY19" s="82">
        <f t="shared" ref="BY19:BY51" si="45">1000*(AI19/BX19-1)</f>
        <v>0</v>
      </c>
      <c r="BZ19" s="8">
        <f t="shared" ref="BZ19:BZ51" si="46">1000*(AI19/AI$19 -1)</f>
        <v>0</v>
      </c>
      <c r="CA19" s="44">
        <f t="shared" ref="CA19:CA51" si="47">BM19</f>
        <v>0</v>
      </c>
      <c r="CB19" s="44">
        <f t="shared" ref="CB19:CB51" si="48">BO19</f>
        <v>0</v>
      </c>
      <c r="CC19" s="12">
        <f t="shared" ref="CC19:CC51" si="49">BQ19</f>
        <v>0</v>
      </c>
      <c r="CD19">
        <f t="shared" ref="CD19:CD51" si="50">1000*(AG19/BV19-1)</f>
        <v>-1.1102230246251565E-13</v>
      </c>
      <c r="CE19">
        <f t="shared" ref="CE19:CE51" si="51">1000*(AH19/BW19-1)</f>
        <v>-4.4408920985006262E-13</v>
      </c>
      <c r="CF19" s="85">
        <f>1000*((AG19+(BX19*BY19/1000))/BV19-1)</f>
        <v>-1.1102230246251565E-13</v>
      </c>
      <c r="CG19" s="85">
        <f>1000*((AH19+BX19*BY19/1000)/BW19-1)</f>
        <v>-4.4408920985006262E-13</v>
      </c>
      <c r="CH19" s="21"/>
      <c r="CI19" s="13"/>
    </row>
    <row r="20" spans="1:87" s="52" customFormat="1" x14ac:dyDescent="0.25">
      <c r="A20" s="50" t="s">
        <v>123</v>
      </c>
      <c r="B20" s="118">
        <f>'datapoints-plots'!D8</f>
        <v>-50</v>
      </c>
      <c r="C20" s="118">
        <f>'datapoints-plots'!E8</f>
        <v>50</v>
      </c>
      <c r="D20" s="52">
        <f>(1+B20/1000)*C$7</f>
        <v>1.0621266000000001E-2</v>
      </c>
      <c r="E20" s="52">
        <f>(1+C20/1000)*$C$6</f>
        <v>2.10546E-3</v>
      </c>
      <c r="F20" s="52">
        <f>$C$9*E20^$C$8*(1+(N$16)/1000)</f>
        <v>3.9479711006544413E-4</v>
      </c>
      <c r="G20" s="52">
        <f>1/(1+D20)</f>
        <v>0.98949035968534627</v>
      </c>
      <c r="H20" s="52">
        <f>1/(1+E20+F20)</f>
        <v>0.9975059785847108</v>
      </c>
      <c r="I20" s="53">
        <f>D20*G20</f>
        <v>1.0509640314653739E-2</v>
      </c>
      <c r="J20" s="54">
        <f>1000*((D20/D$19)*(1+B$19/1000) -1)</f>
        <v>-50.000000000000043</v>
      </c>
      <c r="K20" s="52">
        <f>E20*H20</f>
        <v>2.1002089376709653E-3</v>
      </c>
      <c r="L20" s="54">
        <f>1000*((E20/E$19)*(1+C$19/1000) -1)</f>
        <v>50.000000000000043</v>
      </c>
      <c r="M20" s="52">
        <f>F20*H20</f>
        <v>3.9381247761824661E-4</v>
      </c>
      <c r="N20" s="54">
        <f>H20+K20+M20</f>
        <v>1</v>
      </c>
      <c r="O20" s="110">
        <f t="shared" si="7"/>
        <v>4.5673204849846058E-5</v>
      </c>
      <c r="P20" s="52">
        <f>G20*(H20-O20*N14/1000)*(H20-O20*N14/1000)</f>
        <v>0.98456084908166497</v>
      </c>
      <c r="Q20" s="52">
        <f>(I20-O20*N14/1000)*(H20-O20*N14/1000)*(H20-O20*N14/1000)+2*G20*M20*(H20-O20*N14/1000)*Y$6</f>
        <v>1.1234663522048426E-2</v>
      </c>
      <c r="R20" s="52">
        <f>2*(K20-O20*N14/1000)*(H20-O20*N14/1000)*G20+2*(I20-O20*N14/1000)*M20*(H20-O20*N14/1000)*Y$7+G20*M20*M20</f>
        <v>4.1542724355964058E-3</v>
      </c>
      <c r="S20" s="110">
        <f>O20*(1+N14/1000)</f>
        <v>4.5696041452270982E-5</v>
      </c>
      <c r="T20" s="53">
        <f>(P20*$N$4+N$12*N$4/M$4)*(1+(P20*$N$4+N$12*N$4/M$4-T$19)*W$9/1000)</f>
        <v>15752.97358530664</v>
      </c>
      <c r="U20" s="53">
        <f>(Q20*$N$4*$M$5+N$9)*(1+($W$6*(Q20*$N$4*$M$5+$N$9-U$19))/1000)</f>
        <v>17975.461635277479</v>
      </c>
      <c r="V20" s="53">
        <f>(R20*N$4*$M$6+$N$10)*(1+($W$7*(R20*$N$4*$M$6+$N$10-V$19))/1000)</f>
        <v>22156.119434952969</v>
      </c>
      <c r="W20" s="53">
        <f>(S20*N$4*$M$7+$N$11)*(1+($W$8*(S20*$N$4*$M$7+$N$11-W$19))/1000)</f>
        <v>2437.1221864165636</v>
      </c>
      <c r="X20" s="53">
        <f>U20/T20</f>
        <v>1.1410837159051568</v>
      </c>
      <c r="Y20" s="52">
        <f>V20/T20</f>
        <v>1.4064722012622919</v>
      </c>
      <c r="Z20" s="55">
        <f>W20/T20</f>
        <v>0.15470870773818565</v>
      </c>
      <c r="AA20" s="56">
        <f>X20/X$19</f>
        <v>0.95490162183703253</v>
      </c>
      <c r="AB20" s="56">
        <f>Y20/Y$19</f>
        <v>1.049849221821415</v>
      </c>
      <c r="AC20" s="56">
        <f>Z20/Z$19</f>
        <v>0.99975847389458672</v>
      </c>
      <c r="AD20" s="57"/>
      <c r="AE20" s="57"/>
      <c r="AF20" s="57"/>
      <c r="AG20" s="57">
        <f t="shared" ref="AG20:AI21" si="52">AA20*AG$19</f>
        <v>1.1414633992918206E-2</v>
      </c>
      <c r="AH20" s="57">
        <f t="shared" si="52"/>
        <v>4.2195507561766862E-3</v>
      </c>
      <c r="AI20" s="57">
        <f t="shared" si="52"/>
        <v>4.6378779971330716E-5</v>
      </c>
      <c r="AJ20" s="52">
        <f t="shared" si="11"/>
        <v>50</v>
      </c>
      <c r="AK20" s="52">
        <f t="shared" ref="AK20:AK51" si="53">AH20/2</f>
        <v>2.1097753780883431E-3</v>
      </c>
      <c r="AL20" s="52">
        <f t="shared" si="12"/>
        <v>3.9724499305736078E-4</v>
      </c>
      <c r="AM20" s="52">
        <f>1/(1+AK20+AL20)</f>
        <v>0.99749924906239806</v>
      </c>
      <c r="AN20" s="53">
        <f>-3*AL20*AL20+2*AG20*AL20+2*AK20-AH20</f>
        <v>8.5954016490110557E-6</v>
      </c>
      <c r="AO20" s="52">
        <f t="shared" ref="AO20:AO51" si="54">AK20-AN20/2.0022</f>
        <v>2.1054823995402404E-3</v>
      </c>
      <c r="AP20" s="52">
        <f t="shared" si="15"/>
        <v>3.9681799729430009E-4</v>
      </c>
      <c r="AQ20" s="52">
        <f>1/(1+AO20+AP20)</f>
        <v>0.99750394548137777</v>
      </c>
      <c r="AR20" s="54">
        <f>-3*AP20*AP20+2*AG20*AP20+2*AO20-AH20</f>
        <v>7.1373669908308957E-10</v>
      </c>
      <c r="AS20" s="52">
        <f t="shared" ref="AS20:AS51" si="55">AO20-AR20/2.0022</f>
        <v>2.1054820430640147E-3</v>
      </c>
      <c r="AT20" s="52">
        <f>$D$9*AS20^$D$8</f>
        <v>3.9681796182078246E-4</v>
      </c>
      <c r="AU20" s="52">
        <f>1/(1+AS20+AT20)</f>
        <v>0.99750394587137359</v>
      </c>
      <c r="AV20" s="54">
        <f>-3*AT20*AT20+2*$AG20*AT20+2*AS20-$AH20</f>
        <v>5.8872177965962891E-14</v>
      </c>
      <c r="AW20" s="52">
        <f t="shared" ref="AW20:AW51" si="56">AS20-AV20/2.0022</f>
        <v>2.1054820430346111E-3</v>
      </c>
      <c r="AX20" s="52">
        <f>$D$9*AW20^$D$8</f>
        <v>3.9681796181785658E-4</v>
      </c>
      <c r="AY20" s="52">
        <f>1/(1+AW20+AX20)</f>
        <v>0.99750394587140556</v>
      </c>
      <c r="AZ20" s="52">
        <f>-3*AX20*AX20+2*$AG20*AX20+2*AW20-$AH20</f>
        <v>0</v>
      </c>
      <c r="BA20" s="110">
        <f>AG20-2*AX20</f>
        <v>1.0620998069282492E-2</v>
      </c>
      <c r="BB20" s="52">
        <f t="shared" si="25"/>
        <v>-50.0239645802707</v>
      </c>
      <c r="BC20" s="52">
        <f t="shared" si="26"/>
        <v>50.010992935672903</v>
      </c>
      <c r="BD20" s="52">
        <f>1000*(AX20/AX$19 -1)</f>
        <v>26.101566489291848</v>
      </c>
      <c r="BE20" s="54">
        <f>2*BA20*AW20+ 2*AX20*AW20+BA20*AX20*AX20</f>
        <v>4.6397300043976789E-5</v>
      </c>
      <c r="BF20" s="110">
        <f>(1+BB20/1000)*$D$7</f>
        <v>1.0620998069282492E-2</v>
      </c>
      <c r="BG20" s="52">
        <f>(1+BC20/1000)*$D$6</f>
        <v>2.1054820430346111E-3</v>
      </c>
      <c r="BH20" s="52">
        <f>$D$9*BG20^$D$8</f>
        <v>3.9681796181785658E-4</v>
      </c>
      <c r="BI20" s="52">
        <f>1/(1+BF20)</f>
        <v>0.98949062201401605</v>
      </c>
      <c r="BJ20" s="52">
        <f>1/(1+BG20+BH20)</f>
        <v>0.99750394587140556</v>
      </c>
      <c r="BK20" s="54">
        <v>1</v>
      </c>
      <c r="BL20" s="110">
        <f>BF20*BI20</f>
        <v>1.0509377985983998E-2</v>
      </c>
      <c r="BM20" s="52">
        <f t="shared" si="34"/>
        <v>-50.0239645802707</v>
      </c>
      <c r="BN20" s="54">
        <f>BG20*BJ20</f>
        <v>2.1002266458884132E-3</v>
      </c>
      <c r="BO20" s="110">
        <f t="shared" si="35"/>
        <v>50.010992935672903</v>
      </c>
      <c r="BP20" s="52">
        <f>BH20*BJ20</f>
        <v>3.9582748270596067E-4</v>
      </c>
      <c r="BQ20" s="53">
        <f t="shared" si="37"/>
        <v>26.101566489291848</v>
      </c>
      <c r="BR20" s="53">
        <f>BI20*BJ20*BJ20</f>
        <v>0.9845571425192291</v>
      </c>
      <c r="BS20" s="52">
        <f>BF20*BK20*BK20+2*BK20*BH20*BK20</f>
        <v>1.1414633992918206E-2</v>
      </c>
      <c r="BT20" s="52">
        <f>2*BG20*BK20*BK20+2*BF20*BH20*BK20+BK20*BH20*BH20</f>
        <v>4.2195507561766923E-3</v>
      </c>
      <c r="BU20" s="54">
        <f>2*BF20*BG20*BK20+2*BK20*BG20*BH20+BF20*BH20*BH20</f>
        <v>4.6397300043976789E-5</v>
      </c>
      <c r="BV20" s="52">
        <f>(BL20*BJ20*BJ20+2*BI20*BP20*BJ20)/BR20</f>
        <v>1.1414633992918203E-2</v>
      </c>
      <c r="BW20" s="52">
        <f>(2*BN20*BJ20*BI20+2*BL20*BP20*BJ20+BI20*BP20*BP20)/BR20</f>
        <v>4.2195507561766914E-3</v>
      </c>
      <c r="BX20" s="55">
        <f>(2*BL20*BN20*BJ20+2*BI20*BN20*BP20+BL20*BP20*BP20)/BR20</f>
        <v>4.6397300043976789E-5</v>
      </c>
      <c r="BY20" s="83">
        <f>1000*(AI20/BX20-1)</f>
        <v>-0.39916272344553416</v>
      </c>
      <c r="BZ20" s="58">
        <f>1000*(AI20/AI$19 -1)</f>
        <v>-0.24152610541328112</v>
      </c>
      <c r="CA20" s="59">
        <f>BM20</f>
        <v>-50.0239645802707</v>
      </c>
      <c r="CB20" s="59">
        <f>BO20</f>
        <v>50.010992935672903</v>
      </c>
      <c r="CC20" s="60">
        <f>BQ20</f>
        <v>26.101566489291848</v>
      </c>
      <c r="CD20" s="52">
        <f>1000*(AG20/BV20-1)</f>
        <v>2.2204460492503131E-13</v>
      </c>
      <c r="CE20" s="52">
        <f>1000*(AH20/BW20-1)</f>
        <v>-1.2212453270876722E-12</v>
      </c>
      <c r="CF20" s="331">
        <f t="shared" ref="CF20:CF57" si="57">1000*((AG20+(BX20*BY20/1000))/BV20-1)</f>
        <v>-1.6224850182267048E-3</v>
      </c>
      <c r="CG20" s="331">
        <f t="shared" ref="CG20:CG57" si="58">1000*((AH20+BX20*BY20/1000)/BW20-1)</f>
        <v>-4.3891100550697004E-3</v>
      </c>
      <c r="CH20" s="58"/>
      <c r="CI20" s="59"/>
    </row>
    <row r="21" spans="1:87" s="72" customFormat="1" x14ac:dyDescent="0.25">
      <c r="A21" s="51" t="s">
        <v>124</v>
      </c>
      <c r="B21" s="61">
        <f>'datapoints-plots'!D9</f>
        <v>-50</v>
      </c>
      <c r="C21" s="61">
        <f>'datapoints-plots'!E9</f>
        <v>50</v>
      </c>
      <c r="D21" s="62">
        <f>(1+B21/1000)*C$7</f>
        <v>1.0621266000000001E-2</v>
      </c>
      <c r="E21" s="63">
        <f>(1+C21/1000)*$C$6</f>
        <v>2.10546E-3</v>
      </c>
      <c r="F21" s="63">
        <f t="shared" ref="F21:F57" si="59">$C$9*E21^$C$8*(1+M$16/1000)</f>
        <v>3.9479711006544413E-4</v>
      </c>
      <c r="G21" s="63">
        <f>1/(1+D21)</f>
        <v>0.98949035968534627</v>
      </c>
      <c r="H21" s="63">
        <f>1/(1+E21+F21)</f>
        <v>0.9975059785847108</v>
      </c>
      <c r="I21" s="62">
        <f>D21*G21</f>
        <v>1.0509640314653739E-2</v>
      </c>
      <c r="J21" s="64">
        <f>1000*((D21/D$19)*(1+B$19/1000) -1)</f>
        <v>-50.000000000000043</v>
      </c>
      <c r="K21" s="63">
        <f>E21*H21</f>
        <v>2.1002089376709653E-3</v>
      </c>
      <c r="L21" s="64">
        <f>1000*((E21/E$19)*(1+C$19/1000) -1)</f>
        <v>50.000000000000043</v>
      </c>
      <c r="M21" s="63">
        <f>F21*H21</f>
        <v>3.9381247761824661E-4</v>
      </c>
      <c r="N21" s="64">
        <f>H21+K21+M21</f>
        <v>1</v>
      </c>
      <c r="O21" s="111">
        <f t="shared" si="7"/>
        <v>4.5673204849846058E-5</v>
      </c>
      <c r="P21" s="63">
        <f>G21*(H21-O21*M$14/1000)*(H21-O21*M$14/1000)</f>
        <v>0.98456084908166497</v>
      </c>
      <c r="Q21" s="63">
        <f t="shared" ref="Q21:Q57" si="60">(I21-O21*M$14/1000)*(H21-O21*M$14/1000)*(H21-O21*M$14/1000)+2*G21*M21*(H21-O21*M$14/1000)*Y$6</f>
        <v>1.1234663522048426E-2</v>
      </c>
      <c r="R21" s="63">
        <f t="shared" ref="R21:R57" si="61">2*(K21-O21*M$14/1000)*(H21-O21*M$14/1000)*G21+2*(I21-O21*M$14/1000)*M21*(H21-O21*M$14/1000)*Y$7+G21*M21*M21</f>
        <v>4.1542724355964058E-3</v>
      </c>
      <c r="S21" s="111">
        <f t="shared" ref="S21:S57" si="62">O21*(1+M$14/1000)</f>
        <v>4.5696041452270982E-5</v>
      </c>
      <c r="T21" s="62">
        <f>(P21*$N$4+M$12*N$4/M$4)*(1+(P21*$N$4+M$12*N$4/M$4-T$19)*V$9/1000)</f>
        <v>15752.97358530664</v>
      </c>
      <c r="U21" s="62">
        <f>(Q21*$N$4*$M$5+$M$9)*(1+$V$6*(Q21*$N$4*$M$5+$M$9-U$19)/1000)</f>
        <v>17975.461635277479</v>
      </c>
      <c r="V21" s="62">
        <f>(R21*N$4*$M$6+$M$10)*(1+$V$7*(R21*$N$4*$M$6+$M$10-V$19)/1000)</f>
        <v>22156.119434952969</v>
      </c>
      <c r="W21" s="62">
        <f>(S21*N$4*$M$7+$M$11)*(1+$V$8*(S21*$N$4*$M$7+$M$11-W$19)/1000)</f>
        <v>2437.1221864165636</v>
      </c>
      <c r="X21" s="62">
        <f>U21/T21</f>
        <v>1.1410837159051568</v>
      </c>
      <c r="Y21" s="63">
        <f>V21/T21</f>
        <v>1.4064722012622919</v>
      </c>
      <c r="Z21" s="65">
        <f>W21/T21</f>
        <v>0.15470870773818565</v>
      </c>
      <c r="AA21" s="66">
        <f>X21/X$19</f>
        <v>0.95490162183703253</v>
      </c>
      <c r="AB21" s="66">
        <f>Y21/Y$19</f>
        <v>1.049849221821415</v>
      </c>
      <c r="AC21" s="66">
        <f>Z21/Z$19</f>
        <v>0.99975847389458672</v>
      </c>
      <c r="AD21" s="67"/>
      <c r="AE21" s="67"/>
      <c r="AF21" s="67"/>
      <c r="AG21" s="67">
        <f t="shared" si="52"/>
        <v>1.1414633992918206E-2</v>
      </c>
      <c r="AH21" s="67">
        <f t="shared" si="52"/>
        <v>4.2195507561766862E-3</v>
      </c>
      <c r="AI21" s="67">
        <f t="shared" si="52"/>
        <v>4.6378779971330716E-5</v>
      </c>
      <c r="AJ21" s="62">
        <f t="shared" si="11"/>
        <v>50</v>
      </c>
      <c r="AK21" s="63">
        <f t="shared" si="53"/>
        <v>2.1097753780883431E-3</v>
      </c>
      <c r="AL21" s="63">
        <f t="shared" si="12"/>
        <v>3.9724499305736078E-4</v>
      </c>
      <c r="AM21" s="63">
        <f>1/(1+AK21+AL21)</f>
        <v>0.99749924906239806</v>
      </c>
      <c r="AN21" s="62">
        <f>-3*AL21*AL21+2*AG21*AL21+2*AK21-AH21</f>
        <v>8.5954016490110557E-6</v>
      </c>
      <c r="AO21" s="63">
        <f t="shared" si="54"/>
        <v>2.1054823995402404E-3</v>
      </c>
      <c r="AP21" s="63">
        <f t="shared" si="15"/>
        <v>3.9681799729430009E-4</v>
      </c>
      <c r="AQ21" s="63">
        <f>1/(1+AO21+AP21)</f>
        <v>0.99750394548137777</v>
      </c>
      <c r="AR21" s="64">
        <f>-3*AP21*AP21+2*AG21*AP21+2*AO21-AH21</f>
        <v>7.1373669908308957E-10</v>
      </c>
      <c r="AS21" s="63">
        <f t="shared" si="55"/>
        <v>2.1054820430640147E-3</v>
      </c>
      <c r="AT21" s="63">
        <f>$D$9*AS21^$D$8</f>
        <v>3.9681796182078246E-4</v>
      </c>
      <c r="AU21" s="63">
        <f>1/(1+AS21+AT21)</f>
        <v>0.99750394587137359</v>
      </c>
      <c r="AV21" s="64">
        <f>-3*AT21*AT21+2*$AG21*AT21+2*AS21-$AH21</f>
        <v>5.8872177965962891E-14</v>
      </c>
      <c r="AW21" s="63">
        <f t="shared" si="56"/>
        <v>2.1054820430346111E-3</v>
      </c>
      <c r="AX21" s="63">
        <f>$D$9*AW21^$D$8</f>
        <v>3.9681796181785658E-4</v>
      </c>
      <c r="AY21" s="63">
        <f>1/(1+AW21+AX21)</f>
        <v>0.99750394587140556</v>
      </c>
      <c r="AZ21" s="63">
        <f>-3*AX21*AX21+2*$AG21*AX21+2*AW21-$AH21</f>
        <v>0</v>
      </c>
      <c r="BA21" s="62">
        <f>AG21-2*AX21</f>
        <v>1.0620998069282492E-2</v>
      </c>
      <c r="BB21" s="62">
        <f t="shared" si="25"/>
        <v>-50.0239645802707</v>
      </c>
      <c r="BC21" s="63">
        <f t="shared" si="26"/>
        <v>50.010992935672903</v>
      </c>
      <c r="BD21" s="63">
        <f>1000*(AX21/AX$19 -1)</f>
        <v>26.101566489291848</v>
      </c>
      <c r="BE21" s="64">
        <f>2*BA21*AW21+ 2*AX21*AW21+BA21*AX21*AX21</f>
        <v>4.6397300043976789E-5</v>
      </c>
      <c r="BF21" s="111">
        <f>(1+BB21/1000)*$D$7</f>
        <v>1.0620998069282492E-2</v>
      </c>
      <c r="BG21" s="63">
        <f>(1+BC21/1000)*$D$6</f>
        <v>2.1054820430346111E-3</v>
      </c>
      <c r="BH21" s="63">
        <f>$D$9*BG21^$D$8</f>
        <v>3.9681796181785658E-4</v>
      </c>
      <c r="BI21" s="63">
        <f>1/(1+BF21)</f>
        <v>0.98949062201401605</v>
      </c>
      <c r="BJ21" s="63">
        <f>1/(1+BG21+BH21)</f>
        <v>0.99750394587140556</v>
      </c>
      <c r="BK21" s="64">
        <v>1</v>
      </c>
      <c r="BL21" s="111">
        <f>BF21*BI21</f>
        <v>1.0509377985983998E-2</v>
      </c>
      <c r="BM21" s="63">
        <f t="shared" si="34"/>
        <v>-50.0239645802707</v>
      </c>
      <c r="BN21" s="64">
        <f>BG21*BJ21</f>
        <v>2.1002266458884132E-3</v>
      </c>
      <c r="BO21" s="111">
        <f t="shared" si="35"/>
        <v>50.010992935672903</v>
      </c>
      <c r="BP21" s="63">
        <f>BH21*BJ21</f>
        <v>3.9582748270596067E-4</v>
      </c>
      <c r="BQ21" s="62">
        <f t="shared" si="37"/>
        <v>26.101566489291848</v>
      </c>
      <c r="BR21" s="62">
        <f>BI21*BJ21*BJ21</f>
        <v>0.9845571425192291</v>
      </c>
      <c r="BS21" s="63">
        <f>BF21*BK21*BK21+2*BK21*BH21*BK21</f>
        <v>1.1414633992918206E-2</v>
      </c>
      <c r="BT21" s="63">
        <f>2*BG21*BK21*BK21+2*BF21*BH21*BK21+BK21*BH21*BH21</f>
        <v>4.2195507561766923E-3</v>
      </c>
      <c r="BU21" s="64">
        <f>2*BF21*BG21*BK21+2*BK21*BG21*BH21+BF21*BH21*BH21</f>
        <v>4.6397300043976789E-5</v>
      </c>
      <c r="BV21" s="63">
        <f>(BL21*BJ21*BJ21+2*BI21*BP21*BJ21)/BR21</f>
        <v>1.1414633992918203E-2</v>
      </c>
      <c r="BW21" s="63">
        <f>(2*BN21*BJ21*BI21+2*BL21*BP21*BJ21+BI21*BP21*BP21)/BR21</f>
        <v>4.2195507561766914E-3</v>
      </c>
      <c r="BX21" s="65">
        <f>(2*BL21*BN21*BJ21+2*BI21*BN21*BP21+BL21*BP21*BP21)/BR21</f>
        <v>4.6397300043976789E-5</v>
      </c>
      <c r="BY21" s="84">
        <f>1000*(AI21/BX21-1)</f>
        <v>-0.39916272344553416</v>
      </c>
      <c r="BZ21" s="68">
        <f>1000*(AI21/AI$19 -1)</f>
        <v>-0.24152610541328112</v>
      </c>
      <c r="CA21" s="69">
        <f>BM21</f>
        <v>-50.0239645802707</v>
      </c>
      <c r="CB21" s="69">
        <f>BO21</f>
        <v>50.010992935672903</v>
      </c>
      <c r="CC21" s="70">
        <f>BQ21</f>
        <v>26.101566489291848</v>
      </c>
      <c r="CD21" s="63">
        <f>1000*(AG21/BV21-1)</f>
        <v>2.2204460492503131E-13</v>
      </c>
      <c r="CE21" s="63">
        <f>1000*(AH21/BW21-1)</f>
        <v>-1.2212453270876722E-12</v>
      </c>
      <c r="CF21" s="332">
        <f t="shared" si="57"/>
        <v>-1.6224850182267048E-3</v>
      </c>
      <c r="CG21" s="332">
        <f t="shared" si="58"/>
        <v>-4.3891100550697004E-3</v>
      </c>
      <c r="CH21" s="71"/>
      <c r="CI21" s="69"/>
    </row>
    <row r="22" spans="1:87" s="3" customFormat="1" x14ac:dyDescent="0.25">
      <c r="B22">
        <f>'datapoints-plots'!D10</f>
        <v>0</v>
      </c>
      <c r="C22">
        <f>'datapoints-plots'!E10</f>
        <v>0</v>
      </c>
      <c r="D22" s="1">
        <f>(1+B22/1000)*C$7</f>
        <v>1.1180280000000001E-2</v>
      </c>
      <c r="E22" s="3">
        <f>(1+C22/1000)*$C$6</f>
        <v>2.0052E-3</v>
      </c>
      <c r="F22" s="36">
        <f t="shared" si="59"/>
        <v>3.8475654393587772E-4</v>
      </c>
      <c r="G22" s="3">
        <f t="shared" si="2"/>
        <v>0.98894333659275868</v>
      </c>
      <c r="H22" s="3">
        <f t="shared" si="3"/>
        <v>0.99761574172971967</v>
      </c>
      <c r="I22" s="1">
        <f t="shared" si="4"/>
        <v>1.1056663407241289E-2</v>
      </c>
      <c r="J22" s="14">
        <f t="shared" ref="J22:J51" si="63">1000*((D22/D$19)*(1+B$19/1000) -1)</f>
        <v>0</v>
      </c>
      <c r="K22" s="3">
        <f t="shared" si="5"/>
        <v>2.0004190853164338E-3</v>
      </c>
      <c r="L22" s="14">
        <f t="shared" ref="L22:L51" si="64">1000*((E22/E$19)*(1+C$19/1000) -1)</f>
        <v>0</v>
      </c>
      <c r="M22" s="3">
        <f>F22*H22</f>
        <v>3.8383918496395411E-4</v>
      </c>
      <c r="N22" s="14">
        <f t="shared" si="6"/>
        <v>1</v>
      </c>
      <c r="O22" s="108">
        <f t="shared" si="7"/>
        <v>4.565077912785144E-5</v>
      </c>
      <c r="P22" s="3">
        <f>G22*(H22-O22*M$14/1000)*(H22-O22*M$14/1000)</f>
        <v>0.98423312072996838</v>
      </c>
      <c r="Q22" s="3">
        <f t="shared" si="60"/>
        <v>1.1761359443607209E-2</v>
      </c>
      <c r="R22" s="3">
        <f t="shared" si="61"/>
        <v>3.9557369689820565E-3</v>
      </c>
      <c r="S22" s="108">
        <f t="shared" si="62"/>
        <v>4.5673604517415362E-5</v>
      </c>
      <c r="T22" s="1">
        <f>(P22*$N$4+M$12*N$4/M$4)*(1+(P22*$N$4+M$12*N$4/M$4-T$19)*V$9/1000)</f>
        <v>15747.729931679494</v>
      </c>
      <c r="U22" s="1">
        <f>(Q22*$N$4*$M$5+$M$9*T22/T$19)*(1+$V$6*(Q22*$N$4*$M$5+$M$9*T22/T$19-U$19)/1000)</f>
        <v>18818.175109771535</v>
      </c>
      <c r="V22" s="1">
        <f>(R22*N$4*$M$6+$M$10*T22/T$19)*(1+$V$7*(R22*$N$4*$M$6+$M$10*T22/T$19-V$19)/1000)</f>
        <v>21097.26362359833</v>
      </c>
      <c r="W22" s="1">
        <f>(S22*N$4*$M$7+$M$11*T22/T$19)*(1+$V$8*(S22*$N$4*$M$7+$M$11*T22/T$19-W$19)/1000)</f>
        <v>2435.9255499028968</v>
      </c>
      <c r="X22" s="1">
        <f t="shared" ref="X22:X51" si="65">U22/T22</f>
        <v>1.1949770024894362</v>
      </c>
      <c r="Y22">
        <f t="shared" si="8"/>
        <v>1.3397018945033627</v>
      </c>
      <c r="Z22" s="11">
        <f t="shared" si="9"/>
        <v>0.1546842345195785</v>
      </c>
      <c r="AA22" s="17">
        <f t="shared" ref="AA22:AC51" si="66">X22/X$19</f>
        <v>1.0000015439971117</v>
      </c>
      <c r="AB22" s="17">
        <f t="shared" si="10"/>
        <v>1.0000090937842407</v>
      </c>
      <c r="AC22" s="17">
        <f t="shared" si="10"/>
        <v>0.99960032308301516</v>
      </c>
      <c r="AD22" s="18"/>
      <c r="AE22" s="18"/>
      <c r="AF22" s="18"/>
      <c r="AG22" s="18">
        <f>AA22*AG$19</f>
        <v>1.1953746182900708E-2</v>
      </c>
      <c r="AH22" s="18">
        <f t="shared" ref="AH22:AI37" si="67">AB22*AH$19</f>
        <v>4.0192334672022366E-3</v>
      </c>
      <c r="AI22" s="18">
        <f t="shared" si="67"/>
        <v>4.6371443357654823E-5</v>
      </c>
      <c r="AJ22" s="1">
        <f t="shared" si="11"/>
        <v>0</v>
      </c>
      <c r="AK22" s="3">
        <f t="shared" si="53"/>
        <v>2.0096167336011183E-3</v>
      </c>
      <c r="AL22" s="3">
        <f t="shared" si="12"/>
        <v>3.8717338713653435E-4</v>
      </c>
      <c r="AM22" s="3">
        <f t="shared" si="13"/>
        <v>0.99760894074645923</v>
      </c>
      <c r="AN22" s="1">
        <f t="shared" si="14"/>
        <v>8.8066351020881992E-6</v>
      </c>
      <c r="AO22" s="3">
        <f t="shared" si="54"/>
        <v>2.0052182543772207E-3</v>
      </c>
      <c r="AP22" s="3">
        <f t="shared" si="15"/>
        <v>3.867257220352753E-4</v>
      </c>
      <c r="AQ22" s="3">
        <f t="shared" si="16"/>
        <v>0.99761376376697131</v>
      </c>
      <c r="AR22" s="14">
        <f t="shared" si="17"/>
        <v>1.3447171327840568E-11</v>
      </c>
      <c r="AS22" s="3">
        <f t="shared" si="55"/>
        <v>2.0052182476610228E-3</v>
      </c>
      <c r="AT22" s="3">
        <f t="shared" si="18"/>
        <v>3.867257213513655E-4</v>
      </c>
      <c r="AU22" s="3">
        <f t="shared" si="19"/>
        <v>0.99761376377433608</v>
      </c>
      <c r="AV22" s="14">
        <f t="shared" si="20"/>
        <v>1.1275702593849246E-17</v>
      </c>
      <c r="AW22" s="3">
        <f t="shared" si="56"/>
        <v>2.0052182476610171E-3</v>
      </c>
      <c r="AX22" s="3">
        <f t="shared" si="21"/>
        <v>3.8672572135136491E-4</v>
      </c>
      <c r="AY22" s="3">
        <f t="shared" si="22"/>
        <v>0.99761376377433608</v>
      </c>
      <c r="AZ22">
        <f t="shared" si="23"/>
        <v>0</v>
      </c>
      <c r="BA22" s="1">
        <f t="shared" si="24"/>
        <v>1.1180294740197978E-2</v>
      </c>
      <c r="BB22" s="1">
        <f t="shared" ref="BB22" si="68">1000*((BA22/BA$19)*(1+B$19/1000) -1)</f>
        <v>1.3184104492580673E-3</v>
      </c>
      <c r="BC22" s="3">
        <f t="shared" ref="BC22" si="69">1000*((AW22/AW$19)*(1+C$19/1000) -1)</f>
        <v>9.1001700663895235E-3</v>
      </c>
      <c r="BD22" s="3">
        <f t="shared" ref="BD22:BD51" si="70">1000*(AX22/AX$19 -1)</f>
        <v>4.8048794756283542E-3</v>
      </c>
      <c r="BE22" s="14">
        <f t="shared" si="27"/>
        <v>4.6390473090054742E-5</v>
      </c>
      <c r="BF22" s="108">
        <f t="shared" si="28"/>
        <v>1.1180294740197978E-2</v>
      </c>
      <c r="BG22" s="3">
        <f t="shared" si="29"/>
        <v>2.0052182476610171E-3</v>
      </c>
      <c r="BH22">
        <f t="shared" si="30"/>
        <v>3.8672572135136491E-4</v>
      </c>
      <c r="BI22" s="3">
        <f t="shared" si="31"/>
        <v>0.98894332217671377</v>
      </c>
      <c r="BJ22" s="3">
        <f t="shared" si="32"/>
        <v>0.99761376377433608</v>
      </c>
      <c r="BK22" s="14">
        <v>1</v>
      </c>
      <c r="BL22" s="108">
        <f t="shared" si="33"/>
        <v>1.1056677823286227E-2</v>
      </c>
      <c r="BM22" s="3">
        <f t="shared" si="34"/>
        <v>1.3184104492580673E-3</v>
      </c>
      <c r="BN22" s="14">
        <f t="shared" ref="BN22:BN51" si="71">BG22*BJ22</f>
        <v>2.0004333232380863E-3</v>
      </c>
      <c r="BO22" s="108">
        <f t="shared" si="35"/>
        <v>9.1001700663895235E-3</v>
      </c>
      <c r="BP22" s="3">
        <f t="shared" si="36"/>
        <v>3.8580290242568027E-4</v>
      </c>
      <c r="BQ22" s="1">
        <f t="shared" si="37"/>
        <v>4.8048794756283542E-3</v>
      </c>
      <c r="BR22" s="1">
        <f t="shared" si="38"/>
        <v>0.9842292485809383</v>
      </c>
      <c r="BS22">
        <f t="shared" si="39"/>
        <v>1.1953746182900708E-2</v>
      </c>
      <c r="BT22">
        <f t="shared" si="40"/>
        <v>4.0192334672022366E-3</v>
      </c>
      <c r="BU22" s="14">
        <f t="shared" si="41"/>
        <v>4.6390473090054742E-5</v>
      </c>
      <c r="BV22" s="3">
        <f t="shared" si="42"/>
        <v>1.1953746182900706E-2</v>
      </c>
      <c r="BW22">
        <f t="shared" si="43"/>
        <v>4.0192334672022384E-3</v>
      </c>
      <c r="BX22" s="11">
        <f t="shared" si="44"/>
        <v>4.6390473090054736E-5</v>
      </c>
      <c r="BY22" s="82">
        <f t="shared" si="45"/>
        <v>-0.41020776750799737</v>
      </c>
      <c r="BZ22" s="8">
        <f t="shared" si="46"/>
        <v>-0.39967691698483687</v>
      </c>
      <c r="CA22" s="13">
        <f t="shared" si="47"/>
        <v>1.3184104492580673E-3</v>
      </c>
      <c r="CB22" s="13">
        <f t="shared" si="48"/>
        <v>9.1001700663895235E-3</v>
      </c>
      <c r="CC22" s="12">
        <f t="shared" si="49"/>
        <v>4.8048794756283542E-3</v>
      </c>
      <c r="CD22">
        <f t="shared" si="50"/>
        <v>2.2204460492503131E-13</v>
      </c>
      <c r="CE22">
        <f t="shared" si="51"/>
        <v>-4.4408920985006262E-13</v>
      </c>
      <c r="CF22" s="333">
        <f t="shared" si="57"/>
        <v>-1.5919471691994147E-3</v>
      </c>
      <c r="CG22" s="333">
        <f t="shared" si="58"/>
        <v>-4.734667084393962E-3</v>
      </c>
      <c r="CH22" s="22">
        <f>BY22-CD22-CE22</f>
        <v>-0.41020776750777532</v>
      </c>
      <c r="CI22" s="13"/>
    </row>
    <row r="23" spans="1:87" s="3" customFormat="1" x14ac:dyDescent="0.25">
      <c r="B23">
        <f>'datapoints-plots'!D11</f>
        <v>0</v>
      </c>
      <c r="C23">
        <f>'datapoints-plots'!E11</f>
        <v>10</v>
      </c>
      <c r="D23" s="1">
        <f t="shared" ref="D23:D57" si="72">(1+B23/1000)*C$7</f>
        <v>1.1180280000000001E-2</v>
      </c>
      <c r="E23" s="3">
        <f t="shared" ref="E23:E57" si="73">(1+C23/1000)*$C$6</f>
        <v>2.025252E-3</v>
      </c>
      <c r="F23" s="36">
        <f t="shared" si="59"/>
        <v>3.8678328749353459E-4</v>
      </c>
      <c r="G23" s="3">
        <f t="shared" si="2"/>
        <v>0.98894333659275868</v>
      </c>
      <c r="H23" s="3">
        <f t="shared" si="3"/>
        <v>0.99759376862748694</v>
      </c>
      <c r="I23" s="1">
        <f t="shared" si="4"/>
        <v>1.1056663407241289E-2</v>
      </c>
      <c r="J23" s="14">
        <f t="shared" si="63"/>
        <v>0</v>
      </c>
      <c r="K23" s="3">
        <f t="shared" si="5"/>
        <v>2.0203787751003552E-3</v>
      </c>
      <c r="L23" s="14">
        <f t="shared" si="64"/>
        <v>10.000000000000009</v>
      </c>
      <c r="M23" s="3">
        <f t="shared" ref="M23:M57" si="74">F23*H23</f>
        <v>3.8585259741280391E-4</v>
      </c>
      <c r="N23" s="14">
        <f t="shared" si="6"/>
        <v>1</v>
      </c>
      <c r="O23" s="108">
        <f t="shared" si="7"/>
        <v>4.6113336317388934E-5</v>
      </c>
      <c r="P23" s="3">
        <f t="shared" ref="P23:P57" si="75">G23*(H23-O23*M$14/1000)*(H23-O23*M$14/1000)</f>
        <v>0.98418976406661685</v>
      </c>
      <c r="Q23" s="3">
        <f t="shared" si="60"/>
        <v>1.1764830512080042E-2</v>
      </c>
      <c r="R23" s="3">
        <f t="shared" si="61"/>
        <v>3.9950783461001676E-3</v>
      </c>
      <c r="S23" s="108">
        <f t="shared" si="62"/>
        <v>4.6136392985547628E-5</v>
      </c>
      <c r="T23" s="1">
        <f t="shared" ref="T23:T57" si="76">(P23*$N$4+M$12*N$4/M$4)*(1+(P23*$N$4+M$12*N$4/M$4-T$19)*V$9/1000)</f>
        <v>15747.036225065869</v>
      </c>
      <c r="U23" s="1">
        <f t="shared" ref="U23:U57" si="77">(Q23*$N$4*$M$5+$M$9*T23/T$19)*(1+$V$6*(Q23*$N$4*$M$5+$M$9*T23/T$19-U$19)/1000)</f>
        <v>18823.728819328069</v>
      </c>
      <c r="V23" s="1">
        <f t="shared" ref="V23:V57" si="78">(R23*N$4*$M$6+$M$10*T23/T$19)*(1+$V$7*(R23*$N$4*$M$6+$M$10*T23/T$19-V$19)/1000)</f>
        <v>21307.084299463382</v>
      </c>
      <c r="W23" s="1">
        <f t="shared" ref="W23:W57" si="79">(S23*N$4*$M$7+$M$11*T23/T$19)*(1+$V$8*(S23*$N$4*$M$7+$M$11*T23/T$19-W$19)/1000)</f>
        <v>2460.607601289797</v>
      </c>
      <c r="X23" s="1">
        <f t="shared" si="65"/>
        <v>1.1953823278417797</v>
      </c>
      <c r="Y23">
        <f t="shared" si="8"/>
        <v>1.3530853676164865</v>
      </c>
      <c r="Z23" s="11">
        <f t="shared" si="9"/>
        <v>0.15625845817088063</v>
      </c>
      <c r="AA23" s="17">
        <f t="shared" si="66"/>
        <v>1.0003407354437421</v>
      </c>
      <c r="AB23" s="17">
        <f t="shared" si="10"/>
        <v>1.0099990735509725</v>
      </c>
      <c r="AC23" s="17">
        <f t="shared" si="10"/>
        <v>1.0097732697658741</v>
      </c>
      <c r="AD23" s="19"/>
      <c r="AE23" s="19"/>
      <c r="AF23" s="19"/>
      <c r="AG23" s="18">
        <f t="shared" ref="AG23:AI51" si="80">AA23*AG$19</f>
        <v>1.1957800785100845E-2</v>
      </c>
      <c r="AH23" s="18">
        <f t="shared" si="67"/>
        <v>4.0593851630864987E-3</v>
      </c>
      <c r="AI23" s="18">
        <f t="shared" si="67"/>
        <v>4.6843366195204224E-5</v>
      </c>
      <c r="AJ23" s="1">
        <f t="shared" si="11"/>
        <v>10</v>
      </c>
      <c r="AK23" s="3">
        <f t="shared" si="53"/>
        <v>2.0296925815432494E-3</v>
      </c>
      <c r="AL23" s="3">
        <f t="shared" si="12"/>
        <v>3.8921080435430823E-4</v>
      </c>
      <c r="AM23" s="3">
        <f t="shared" si="13"/>
        <v>0.99758693358861517</v>
      </c>
      <c r="AN23" s="1">
        <f t="shared" si="14"/>
        <v>8.8537553730770949E-6</v>
      </c>
      <c r="AO23" s="3">
        <f t="shared" si="54"/>
        <v>2.0252705680715295E-3</v>
      </c>
      <c r="AP23" s="3">
        <f t="shared" si="15"/>
        <v>3.8876285172789168E-4</v>
      </c>
      <c r="AQ23" s="3">
        <f t="shared" si="16"/>
        <v>0.99759178010351302</v>
      </c>
      <c r="AR23" s="14">
        <f t="shared" si="17"/>
        <v>6.0859129367984988E-11</v>
      </c>
      <c r="AS23" s="3">
        <f t="shared" si="55"/>
        <v>2.0252705376754008E-3</v>
      </c>
      <c r="AT23" s="3">
        <f t="shared" si="18"/>
        <v>3.8876284864715972E-4</v>
      </c>
      <c r="AU23" s="3">
        <f t="shared" si="19"/>
        <v>0.99759178013682881</v>
      </c>
      <c r="AV23" s="14">
        <f t="shared" si="20"/>
        <v>3.7990444123892075E-16</v>
      </c>
      <c r="AW23" s="3">
        <f t="shared" si="56"/>
        <v>2.0252705376752108E-3</v>
      </c>
      <c r="AX23" s="3">
        <f t="shared" si="21"/>
        <v>3.8876284864714059E-4</v>
      </c>
      <c r="AY23" s="3">
        <f t="shared" si="22"/>
        <v>0.99759178013682881</v>
      </c>
      <c r="AZ23">
        <f t="shared" si="23"/>
        <v>0</v>
      </c>
      <c r="BA23" s="108">
        <f t="shared" si="24"/>
        <v>1.1180275087806564E-2</v>
      </c>
      <c r="BB23" s="3">
        <f t="shared" si="25"/>
        <v>-4.3936229121577242E-4</v>
      </c>
      <c r="BC23" s="3">
        <f t="shared" si="26"/>
        <v>10.009244801122419</v>
      </c>
      <c r="BD23" s="3">
        <f t="shared" si="70"/>
        <v>5.272458338904995</v>
      </c>
      <c r="BE23" s="14">
        <f t="shared" si="27"/>
        <v>4.6862553112125653E-5</v>
      </c>
      <c r="BF23" s="108">
        <f t="shared" si="28"/>
        <v>1.1180275087806564E-2</v>
      </c>
      <c r="BG23" s="3">
        <f t="shared" si="29"/>
        <v>2.0252705376752108E-3</v>
      </c>
      <c r="BH23">
        <f t="shared" si="30"/>
        <v>3.8876284864714059E-4</v>
      </c>
      <c r="BI23" s="3">
        <f t="shared" si="31"/>
        <v>0.98894334139692786</v>
      </c>
      <c r="BJ23" s="3">
        <f t="shared" si="32"/>
        <v>0.99759178013682881</v>
      </c>
      <c r="BK23" s="14">
        <v>1</v>
      </c>
      <c r="BL23" s="108">
        <f t="shared" si="33"/>
        <v>1.1056658603072254E-2</v>
      </c>
      <c r="BM23" s="3">
        <f t="shared" si="34"/>
        <v>-4.3936229121577242E-4</v>
      </c>
      <c r="BN23" s="14">
        <f t="shared" si="71"/>
        <v>2.020393240938086E-3</v>
      </c>
      <c r="BO23" s="108">
        <f t="shared" si="35"/>
        <v>10.009244801122419</v>
      </c>
      <c r="BP23" s="3">
        <f t="shared" si="36"/>
        <v>3.8782662223296553E-4</v>
      </c>
      <c r="BQ23" s="1">
        <f t="shared" si="37"/>
        <v>5.272458338904995</v>
      </c>
      <c r="BR23" s="1">
        <f t="shared" si="38"/>
        <v>0.98418589079988639</v>
      </c>
      <c r="BS23">
        <f t="shared" si="39"/>
        <v>1.1957800785100845E-2</v>
      </c>
      <c r="BT23">
        <f t="shared" si="40"/>
        <v>4.0593851630864987E-3</v>
      </c>
      <c r="BU23" s="14">
        <f t="shared" si="41"/>
        <v>4.6862553112125653E-5</v>
      </c>
      <c r="BV23" s="3">
        <f t="shared" si="42"/>
        <v>1.1957800785100845E-2</v>
      </c>
      <c r="BW23">
        <f t="shared" si="43"/>
        <v>4.0593851630864987E-3</v>
      </c>
      <c r="BX23" s="11">
        <f t="shared" si="44"/>
        <v>4.6862553112125647E-5</v>
      </c>
      <c r="BY23" s="82">
        <f t="shared" si="45"/>
        <v>-0.40942961164569525</v>
      </c>
      <c r="BZ23" s="8">
        <f t="shared" si="46"/>
        <v>9.7732697658741152</v>
      </c>
      <c r="CA23" s="13">
        <f t="shared" si="47"/>
        <v>-4.3936229121577242E-4</v>
      </c>
      <c r="CB23" s="13">
        <f t="shared" si="48"/>
        <v>10.009244801122419</v>
      </c>
      <c r="CC23" s="12">
        <f t="shared" si="49"/>
        <v>5.272458338904995</v>
      </c>
      <c r="CD23">
        <f t="shared" si="50"/>
        <v>0</v>
      </c>
      <c r="CE23">
        <f t="shared" si="51"/>
        <v>0</v>
      </c>
      <c r="CF23" s="333">
        <f t="shared" si="57"/>
        <v>-1.6045523141272611E-3</v>
      </c>
      <c r="CG23" s="333">
        <f t="shared" si="58"/>
        <v>-4.7265573851484888E-3</v>
      </c>
      <c r="CH23" s="10"/>
      <c r="CI23" s="13"/>
    </row>
    <row r="24" spans="1:87" s="3" customFormat="1" x14ac:dyDescent="0.25">
      <c r="B24">
        <f>'datapoints-plots'!D12</f>
        <v>0</v>
      </c>
      <c r="C24">
        <f>'datapoints-plots'!E12</f>
        <v>15</v>
      </c>
      <c r="D24" s="1">
        <f t="shared" si="72"/>
        <v>1.1180280000000001E-2</v>
      </c>
      <c r="E24" s="3">
        <f t="shared" si="73"/>
        <v>2.0352779999999997E-3</v>
      </c>
      <c r="F24" s="36">
        <f t="shared" si="59"/>
        <v>3.8779310708800908E-4</v>
      </c>
      <c r="G24" s="3">
        <f t="shared" si="2"/>
        <v>0.98894333659275868</v>
      </c>
      <c r="H24" s="3">
        <f t="shared" si="3"/>
        <v>0.99758278597437733</v>
      </c>
      <c r="I24" s="1">
        <f t="shared" si="4"/>
        <v>1.1056663407241289E-2</v>
      </c>
      <c r="J24" s="14">
        <f t="shared" si="63"/>
        <v>0</v>
      </c>
      <c r="K24" s="3">
        <f t="shared" si="5"/>
        <v>2.0303582974723583E-3</v>
      </c>
      <c r="L24" s="14">
        <f t="shared" si="64"/>
        <v>14.999999999999902</v>
      </c>
      <c r="M24" s="3">
        <f t="shared" si="74"/>
        <v>3.8685572815051614E-4</v>
      </c>
      <c r="N24" s="14">
        <f t="shared" si="6"/>
        <v>1.0000000000000002</v>
      </c>
      <c r="O24" s="108">
        <f t="shared" si="7"/>
        <v>4.6344645710506354E-5</v>
      </c>
      <c r="P24" s="3">
        <f t="shared" si="75"/>
        <v>0.98416809378420633</v>
      </c>
      <c r="Q24" s="3">
        <f t="shared" si="60"/>
        <v>1.1766559018842816E-2</v>
      </c>
      <c r="R24" s="3">
        <f t="shared" si="61"/>
        <v>4.0147476840215711E-3</v>
      </c>
      <c r="S24" s="108">
        <f t="shared" si="62"/>
        <v>4.6367818033361602E-5</v>
      </c>
      <c r="T24" s="1">
        <f t="shared" si="76"/>
        <v>15746.689500547302</v>
      </c>
      <c r="U24" s="1">
        <f t="shared" si="77"/>
        <v>18826.494430148505</v>
      </c>
      <c r="V24" s="1">
        <f t="shared" si="78"/>
        <v>21411.987433995168</v>
      </c>
      <c r="W24" s="1">
        <f t="shared" si="79"/>
        <v>2472.9502703831158</v>
      </c>
      <c r="X24" s="1">
        <f t="shared" si="65"/>
        <v>1.1955842800795786</v>
      </c>
      <c r="Y24">
        <f t="shared" si="8"/>
        <v>1.35977707779473</v>
      </c>
      <c r="Z24" s="11">
        <f t="shared" si="9"/>
        <v>0.15704572509016351</v>
      </c>
      <c r="AA24" s="17">
        <f t="shared" si="66"/>
        <v>1.0005097366455995</v>
      </c>
      <c r="AB24" s="17">
        <f t="shared" si="10"/>
        <v>1.0149940437444667</v>
      </c>
      <c r="AC24" s="17">
        <f t="shared" si="10"/>
        <v>1.0148607453532337</v>
      </c>
      <c r="AD24" s="19"/>
      <c r="AE24" s="19"/>
      <c r="AF24" s="19"/>
      <c r="AG24" s="18">
        <f t="shared" si="80"/>
        <v>1.1959820979453278E-2</v>
      </c>
      <c r="AH24" s="18">
        <f t="shared" si="67"/>
        <v>4.079460931891158E-3</v>
      </c>
      <c r="AI24" s="18">
        <f t="shared" si="67"/>
        <v>4.7079374108151949E-5</v>
      </c>
      <c r="AJ24" s="1">
        <f t="shared" si="11"/>
        <v>15</v>
      </c>
      <c r="AK24" s="3">
        <f t="shared" si="53"/>
        <v>2.039730465945579E-3</v>
      </c>
      <c r="AL24" s="3">
        <f t="shared" si="12"/>
        <v>3.9022594164988091E-4</v>
      </c>
      <c r="AM24" s="3">
        <f t="shared" si="13"/>
        <v>0.99757593396719324</v>
      </c>
      <c r="AN24" s="1">
        <f t="shared" si="14"/>
        <v>8.8772359507329271E-6</v>
      </c>
      <c r="AO24" s="3">
        <f t="shared" si="54"/>
        <v>2.0352967250851588E-3</v>
      </c>
      <c r="AP24" s="3">
        <f t="shared" si="15"/>
        <v>3.8977784618023385E-4</v>
      </c>
      <c r="AQ24" s="3">
        <f t="shared" si="16"/>
        <v>0.99758079218808182</v>
      </c>
      <c r="AR24" s="14">
        <f t="shared" si="17"/>
        <v>8.4495186021549262E-11</v>
      </c>
      <c r="AS24" s="3">
        <f t="shared" si="55"/>
        <v>2.035296682883987E-3</v>
      </c>
      <c r="AT24" s="3">
        <f t="shared" si="18"/>
        <v>3.8977784191298622E-4</v>
      </c>
      <c r="AU24" s="3">
        <f t="shared" si="19"/>
        <v>0.99758079223432561</v>
      </c>
      <c r="AV24" s="14">
        <f t="shared" si="20"/>
        <v>7.5113526509795747E-16</v>
      </c>
      <c r="AW24" s="3">
        <f t="shared" si="56"/>
        <v>2.0352966828836119E-3</v>
      </c>
      <c r="AX24" s="3">
        <f t="shared" si="21"/>
        <v>3.8977784191294816E-4</v>
      </c>
      <c r="AY24" s="3">
        <f t="shared" si="22"/>
        <v>0.99758079223432627</v>
      </c>
      <c r="AZ24">
        <f t="shared" si="23"/>
        <v>0</v>
      </c>
      <c r="BA24" s="108">
        <f t="shared" si="24"/>
        <v>1.1180265295627382E-2</v>
      </c>
      <c r="BB24" s="3">
        <f t="shared" si="25"/>
        <v>-1.3152061145715876E-3</v>
      </c>
      <c r="BC24" s="3">
        <f t="shared" si="26"/>
        <v>15.009317217041573</v>
      </c>
      <c r="BD24" s="3">
        <f t="shared" si="70"/>
        <v>7.897052687533046</v>
      </c>
      <c r="BE24" s="14">
        <f t="shared" si="27"/>
        <v>4.7098639418862167E-5</v>
      </c>
      <c r="BF24" s="108">
        <f t="shared" si="28"/>
        <v>1.1180265295627382E-2</v>
      </c>
      <c r="BG24" s="3">
        <f t="shared" si="29"/>
        <v>2.0352966828836119E-3</v>
      </c>
      <c r="BH24">
        <f t="shared" si="30"/>
        <v>3.8977784191294816E-4</v>
      </c>
      <c r="BI24" s="3">
        <f t="shared" si="31"/>
        <v>0.98894335097376651</v>
      </c>
      <c r="BJ24" s="3">
        <f t="shared" si="32"/>
        <v>0.99758079223432627</v>
      </c>
      <c r="BK24" s="14">
        <v>1</v>
      </c>
      <c r="BL24" s="108">
        <f t="shared" si="33"/>
        <v>1.1056649026233451E-2</v>
      </c>
      <c r="BM24" s="3">
        <f t="shared" si="34"/>
        <v>-1.3152061145715876E-3</v>
      </c>
      <c r="BN24" s="14">
        <f t="shared" si="71"/>
        <v>2.03037287734293E-3</v>
      </c>
      <c r="BO24" s="108">
        <f t="shared" si="35"/>
        <v>15.009317217041573</v>
      </c>
      <c r="BP24" s="3">
        <f t="shared" si="36"/>
        <v>3.8883488833090483E-4</v>
      </c>
      <c r="BQ24" s="1">
        <f t="shared" si="37"/>
        <v>7.897052687533046</v>
      </c>
      <c r="BR24" s="1">
        <f t="shared" si="38"/>
        <v>0.98416421996123515</v>
      </c>
      <c r="BS24">
        <f t="shared" si="39"/>
        <v>1.1959820979453278E-2</v>
      </c>
      <c r="BT24">
        <f t="shared" si="40"/>
        <v>4.079460931891158E-3</v>
      </c>
      <c r="BU24" s="14">
        <f t="shared" si="41"/>
        <v>4.7098639418862167E-5</v>
      </c>
      <c r="BV24" s="3">
        <f t="shared" si="42"/>
        <v>1.195982097945328E-2</v>
      </c>
      <c r="BW24">
        <f t="shared" si="43"/>
        <v>4.079460931891158E-3</v>
      </c>
      <c r="BX24" s="11">
        <f t="shared" si="44"/>
        <v>4.7098639418862173E-5</v>
      </c>
      <c r="BY24" s="82">
        <f t="shared" si="45"/>
        <v>-0.40904176740419462</v>
      </c>
      <c r="BZ24" s="8">
        <f t="shared" si="46"/>
        <v>14.860745353233673</v>
      </c>
      <c r="CA24" s="13">
        <f t="shared" si="47"/>
        <v>-1.3152061145715876E-3</v>
      </c>
      <c r="CB24" s="13">
        <f t="shared" si="48"/>
        <v>15.009317217041573</v>
      </c>
      <c r="CC24" s="12">
        <f t="shared" si="49"/>
        <v>7.897052687533046</v>
      </c>
      <c r="CD24">
        <f t="shared" si="50"/>
        <v>-1.1102230246251565E-13</v>
      </c>
      <c r="CE24">
        <f t="shared" si="51"/>
        <v>0</v>
      </c>
      <c r="CF24" s="333">
        <f t="shared" si="57"/>
        <v>-1.610836043774988E-3</v>
      </c>
      <c r="CG24" s="333">
        <f t="shared" si="58"/>
        <v>-4.7225138399831224E-3</v>
      </c>
      <c r="CH24" s="10"/>
      <c r="CI24" s="13"/>
    </row>
    <row r="25" spans="1:87" s="3" customFormat="1" x14ac:dyDescent="0.25">
      <c r="B25">
        <f>'datapoints-plots'!D13</f>
        <v>0</v>
      </c>
      <c r="C25" s="14">
        <f>'datapoints-plots'!E13</f>
        <v>20</v>
      </c>
      <c r="D25" s="3">
        <f t="shared" si="72"/>
        <v>1.1180280000000001E-2</v>
      </c>
      <c r="E25" s="3">
        <f t="shared" si="73"/>
        <v>2.045304E-3</v>
      </c>
      <c r="F25" s="36">
        <f t="shared" si="59"/>
        <v>3.8880058144338234E-4</v>
      </c>
      <c r="G25" s="3">
        <f t="shared" si="2"/>
        <v>0.98894333659275868</v>
      </c>
      <c r="H25" s="3">
        <f t="shared" si="3"/>
        <v>0.99757180589694749</v>
      </c>
      <c r="I25" s="1">
        <f t="shared" si="4"/>
        <v>1.1056663407241289E-2</v>
      </c>
      <c r="J25" s="14">
        <f t="shared" si="63"/>
        <v>0</v>
      </c>
      <c r="K25" s="3">
        <f t="shared" si="5"/>
        <v>2.0403376048882503E-3</v>
      </c>
      <c r="L25" s="14">
        <f t="shared" si="64"/>
        <v>20.000000000000018</v>
      </c>
      <c r="M25" s="3">
        <f t="shared" si="74"/>
        <v>3.8785649816425812E-4</v>
      </c>
      <c r="N25" s="14">
        <f t="shared" si="6"/>
        <v>1</v>
      </c>
      <c r="O25" s="108">
        <f t="shared" si="7"/>
        <v>4.6575975541256663E-5</v>
      </c>
      <c r="P25" s="3">
        <f t="shared" si="75"/>
        <v>0.98414642882238323</v>
      </c>
      <c r="Q25" s="3">
        <f t="shared" si="60"/>
        <v>1.1768282885574027E-2</v>
      </c>
      <c r="R25" s="3">
        <f t="shared" si="61"/>
        <v>4.0344161222688191E-3</v>
      </c>
      <c r="S25" s="108">
        <f t="shared" si="62"/>
        <v>4.6599263529027287E-5</v>
      </c>
      <c r="T25" s="1">
        <f t="shared" si="76"/>
        <v>15746.342861158131</v>
      </c>
      <c r="U25" s="1">
        <f t="shared" si="77"/>
        <v>18829.252616918446</v>
      </c>
      <c r="V25" s="1">
        <f t="shared" si="78"/>
        <v>21516.885770264842</v>
      </c>
      <c r="W25" s="1">
        <f t="shared" si="79"/>
        <v>2485.2940300285145</v>
      </c>
      <c r="X25" s="1">
        <f t="shared" si="65"/>
        <v>1.1957857632685618</v>
      </c>
      <c r="Y25">
        <f t="shared" si="8"/>
        <v>1.3664687705575778</v>
      </c>
      <c r="Z25" s="11">
        <f t="shared" si="9"/>
        <v>0.15783309508387797</v>
      </c>
      <c r="AA25" s="17">
        <f t="shared" si="66"/>
        <v>1.0006783453298278</v>
      </c>
      <c r="AB25" s="17">
        <f t="shared" si="10"/>
        <v>1.0199890009383867</v>
      </c>
      <c r="AC25" s="17">
        <f t="shared" si="10"/>
        <v>1.0199488870280933</v>
      </c>
      <c r="AD25" s="19"/>
      <c r="AE25" s="19"/>
      <c r="AF25" s="19"/>
      <c r="AG25" s="18">
        <f t="shared" si="80"/>
        <v>1.1961836481756846E-2</v>
      </c>
      <c r="AH25" s="18">
        <f t="shared" si="67"/>
        <v>4.0995366484479698E-3</v>
      </c>
      <c r="AI25" s="18">
        <f t="shared" si="67"/>
        <v>4.731541292088839E-5</v>
      </c>
      <c r="AJ25" s="1">
        <f t="shared" si="11"/>
        <v>20</v>
      </c>
      <c r="AK25" s="3">
        <f t="shared" si="53"/>
        <v>2.0497683242239849E-3</v>
      </c>
      <c r="AL25" s="3">
        <f t="shared" si="12"/>
        <v>3.9123872107870393E-4</v>
      </c>
      <c r="AM25" s="3">
        <f t="shared" si="13"/>
        <v>0.9975649369607319</v>
      </c>
      <c r="AN25" s="1">
        <f t="shared" si="14"/>
        <v>8.9006640031363826E-6</v>
      </c>
      <c r="AO25" s="3">
        <f t="shared" si="54"/>
        <v>2.0453228822086334E-3</v>
      </c>
      <c r="AP25" s="3">
        <f t="shared" si="15"/>
        <v>3.9079048337108043E-4</v>
      </c>
      <c r="AQ25" s="3">
        <f t="shared" si="16"/>
        <v>0.99756980686040864</v>
      </c>
      <c r="AR25" s="14">
        <f t="shared" si="17"/>
        <v>1.0808504005005437E-10</v>
      </c>
      <c r="AS25" s="3">
        <f t="shared" si="55"/>
        <v>2.0453228282254947E-3</v>
      </c>
      <c r="AT25" s="3">
        <f t="shared" si="18"/>
        <v>3.9079047792512386E-4</v>
      </c>
      <c r="AU25" s="3">
        <f t="shared" si="19"/>
        <v>0.997569806919549</v>
      </c>
      <c r="AV25" s="14">
        <f t="shared" si="20"/>
        <v>1.2446640940133591E-15</v>
      </c>
      <c r="AW25" s="3">
        <f t="shared" si="56"/>
        <v>2.0453228282248733E-3</v>
      </c>
      <c r="AX25" s="3">
        <f t="shared" si="21"/>
        <v>3.9079047792506125E-4</v>
      </c>
      <c r="AY25" s="3">
        <f t="shared" si="22"/>
        <v>0.99756980691954988</v>
      </c>
      <c r="AZ25">
        <f t="shared" si="23"/>
        <v>0</v>
      </c>
      <c r="BA25" s="108">
        <f t="shared" si="24"/>
        <v>1.1180255525906724E-2</v>
      </c>
      <c r="BB25" s="3">
        <f t="shared" si="25"/>
        <v>-2.1890411757707895E-3</v>
      </c>
      <c r="BC25" s="3">
        <f t="shared" si="26"/>
        <v>20.009389699218616</v>
      </c>
      <c r="BD25" s="3">
        <f t="shared" si="70"/>
        <v>10.515551592050087</v>
      </c>
      <c r="BE25" s="14">
        <f t="shared" si="27"/>
        <v>4.7334756493447479E-5</v>
      </c>
      <c r="BF25" s="108">
        <f t="shared" si="28"/>
        <v>1.1180255525906724E-2</v>
      </c>
      <c r="BG25" s="3">
        <f t="shared" si="29"/>
        <v>2.0453228282248733E-3</v>
      </c>
      <c r="BH25">
        <f t="shared" si="30"/>
        <v>3.9079047792506125E-4</v>
      </c>
      <c r="BI25" s="3">
        <f t="shared" si="31"/>
        <v>0.98894336052864096</v>
      </c>
      <c r="BJ25" s="3">
        <f t="shared" si="32"/>
        <v>0.99756980691954988</v>
      </c>
      <c r="BK25" s="14">
        <v>1</v>
      </c>
      <c r="BL25" s="108">
        <f t="shared" si="33"/>
        <v>1.1056639471359105E-2</v>
      </c>
      <c r="BM25" s="3">
        <f t="shared" si="34"/>
        <v>-2.1890411757707895E-3</v>
      </c>
      <c r="BN25" s="14">
        <f t="shared" si="71"/>
        <v>2.0403522988404347E-3</v>
      </c>
      <c r="BO25" s="108">
        <f t="shared" si="35"/>
        <v>20.009389699218616</v>
      </c>
      <c r="BP25" s="3">
        <f t="shared" si="36"/>
        <v>3.8984078160970195E-4</v>
      </c>
      <c r="BQ25" s="1">
        <f t="shared" si="37"/>
        <v>10.515551592050087</v>
      </c>
      <c r="BR25" s="1">
        <f t="shared" si="38"/>
        <v>0.98414255444489562</v>
      </c>
      <c r="BS25">
        <f t="shared" si="39"/>
        <v>1.1961836481756846E-2</v>
      </c>
      <c r="BT25">
        <f t="shared" si="40"/>
        <v>4.0995366484479706E-3</v>
      </c>
      <c r="BU25" s="14">
        <f t="shared" si="41"/>
        <v>4.7334756493447479E-5</v>
      </c>
      <c r="BV25" s="3">
        <f t="shared" si="42"/>
        <v>1.1961836481756846E-2</v>
      </c>
      <c r="BW25">
        <f t="shared" si="43"/>
        <v>4.0995366484479715E-3</v>
      </c>
      <c r="BX25" s="11">
        <f t="shared" si="44"/>
        <v>4.7334756493447479E-5</v>
      </c>
      <c r="BY25" s="82">
        <f t="shared" si="45"/>
        <v>-0.40865473897111482</v>
      </c>
      <c r="BZ25" s="8">
        <f t="shared" si="46"/>
        <v>19.948887028093274</v>
      </c>
      <c r="CA25" s="13">
        <f t="shared" si="47"/>
        <v>-2.1890411757707895E-3</v>
      </c>
      <c r="CB25" s="13">
        <f t="shared" si="48"/>
        <v>20.009389699218616</v>
      </c>
      <c r="CC25" s="12">
        <f t="shared" si="49"/>
        <v>10.515551592050087</v>
      </c>
      <c r="CD25">
        <f t="shared" si="50"/>
        <v>0</v>
      </c>
      <c r="CE25">
        <f t="shared" si="51"/>
        <v>-4.4408920985006262E-13</v>
      </c>
      <c r="CF25" s="333">
        <f t="shared" si="57"/>
        <v>-1.6171072552140231E-3</v>
      </c>
      <c r="CG25" s="333">
        <f t="shared" si="58"/>
        <v>-4.7184777742792505E-3</v>
      </c>
      <c r="CH25" s="10"/>
      <c r="CI25" s="13"/>
    </row>
    <row r="26" spans="1:87" s="3" customFormat="1" x14ac:dyDescent="0.25">
      <c r="B26">
        <f>'datapoints-plots'!D14</f>
        <v>0</v>
      </c>
      <c r="C26" s="14">
        <f>'datapoints-plots'!E14</f>
        <v>40</v>
      </c>
      <c r="D26" s="3">
        <f t="shared" si="72"/>
        <v>1.1180280000000001E-2</v>
      </c>
      <c r="E26" s="3">
        <f t="shared" si="73"/>
        <v>2.085408E-3</v>
      </c>
      <c r="F26" s="36">
        <f t="shared" si="59"/>
        <v>3.9280736150210311E-4</v>
      </c>
      <c r="G26" s="3">
        <f t="shared" si="2"/>
        <v>0.98894333659275868</v>
      </c>
      <c r="H26" s="3">
        <f t="shared" si="3"/>
        <v>0.99752791100741445</v>
      </c>
      <c r="I26" s="1">
        <f t="shared" si="4"/>
        <v>1.1056663407241289E-2</v>
      </c>
      <c r="J26" s="14">
        <f t="shared" si="63"/>
        <v>0</v>
      </c>
      <c r="K26" s="3">
        <f t="shared" si="5"/>
        <v>2.08025268583815E-3</v>
      </c>
      <c r="L26" s="14">
        <f t="shared" si="64"/>
        <v>40.000000000000036</v>
      </c>
      <c r="M26" s="3">
        <f t="shared" si="74"/>
        <v>3.9183630674752718E-4</v>
      </c>
      <c r="N26" s="14">
        <f t="shared" si="6"/>
        <v>1</v>
      </c>
      <c r="O26" s="108">
        <f t="shared" si="7"/>
        <v>4.7501497841796824E-5</v>
      </c>
      <c r="P26" s="3">
        <f t="shared" si="75"/>
        <v>0.98405982151347604</v>
      </c>
      <c r="Q26" s="3">
        <f t="shared" si="60"/>
        <v>1.1775132610310568E-2</v>
      </c>
      <c r="R26" s="3">
        <f t="shared" si="61"/>
        <v>4.1130808895567814E-3</v>
      </c>
      <c r="S26" s="108">
        <f t="shared" si="62"/>
        <v>4.7525248590717723E-5</v>
      </c>
      <c r="T26" s="1">
        <f t="shared" si="76"/>
        <v>15744.957144215618</v>
      </c>
      <c r="U26" s="1">
        <f t="shared" si="77"/>
        <v>18840.212176496909</v>
      </c>
      <c r="V26" s="1">
        <f t="shared" si="78"/>
        <v>21936.431191605185</v>
      </c>
      <c r="W26" s="1">
        <f t="shared" si="79"/>
        <v>2534.6798994914793</v>
      </c>
      <c r="X26" s="1">
        <f t="shared" si="65"/>
        <v>1.1965870725420442</v>
      </c>
      <c r="Y26">
        <f t="shared" si="8"/>
        <v>1.3932353699460014</v>
      </c>
      <c r="Z26" s="11">
        <f t="shared" si="9"/>
        <v>0.16098360105239601</v>
      </c>
      <c r="AA26" s="17">
        <f t="shared" si="66"/>
        <v>1.0013489109633356</v>
      </c>
      <c r="AB26" s="17">
        <f t="shared" si="10"/>
        <v>1.0399687015777042</v>
      </c>
      <c r="AC26" s="17">
        <f t="shared" si="10"/>
        <v>1.0403080839028531</v>
      </c>
      <c r="AD26" s="19"/>
      <c r="AE26" s="19"/>
      <c r="AF26" s="19"/>
      <c r="AG26" s="18">
        <f t="shared" si="80"/>
        <v>1.1969852240762465E-2</v>
      </c>
      <c r="AH26" s="18">
        <f t="shared" si="67"/>
        <v>4.1798389996699397E-3</v>
      </c>
      <c r="AI26" s="18">
        <f t="shared" si="67"/>
        <v>4.8259875745563632E-5</v>
      </c>
      <c r="AJ26" s="3">
        <f t="shared" si="11"/>
        <v>40</v>
      </c>
      <c r="AK26" s="3">
        <f t="shared" si="53"/>
        <v>2.0899194998349698E-3</v>
      </c>
      <c r="AL26" s="3">
        <f t="shared" si="12"/>
        <v>3.9526659698416763E-4</v>
      </c>
      <c r="AM26" s="3">
        <f t="shared" si="13"/>
        <v>0.99752097474228496</v>
      </c>
      <c r="AN26" s="1">
        <f t="shared" si="14"/>
        <v>8.9938584751448128E-6</v>
      </c>
      <c r="AO26" s="3">
        <f t="shared" si="54"/>
        <v>2.0854275117842534E-3</v>
      </c>
      <c r="AP26" s="3">
        <f t="shared" si="15"/>
        <v>3.9481779626574447E-4</v>
      </c>
      <c r="AQ26" s="3">
        <f t="shared" si="16"/>
        <v>0.99752589108896805</v>
      </c>
      <c r="AR26" s="14">
        <f t="shared" si="17"/>
        <v>2.0198847108798823E-10</v>
      </c>
      <c r="AS26" s="3">
        <f t="shared" si="55"/>
        <v>2.0854274109009894E-3</v>
      </c>
      <c r="AT26" s="3">
        <f t="shared" si="18"/>
        <v>3.948177861812374E-4</v>
      </c>
      <c r="AU26" s="3">
        <f t="shared" si="19"/>
        <v>0.9975258911993875</v>
      </c>
      <c r="AV26" s="14">
        <f t="shared" si="20"/>
        <v>4.4122691611470088E-15</v>
      </c>
      <c r="AW26" s="3">
        <f t="shared" si="56"/>
        <v>2.0854274108987859E-3</v>
      </c>
      <c r="AX26" s="3">
        <f t="shared" si="21"/>
        <v>3.948177861810172E-4</v>
      </c>
      <c r="AY26" s="3">
        <f t="shared" si="22"/>
        <v>0.99752589119938995</v>
      </c>
      <c r="AZ26">
        <f t="shared" si="23"/>
        <v>0</v>
      </c>
      <c r="BA26" s="108">
        <f t="shared" si="24"/>
        <v>1.118021666840043E-2</v>
      </c>
      <c r="BB26" s="3">
        <f t="shared" si="25"/>
        <v>-5.6645808128585884E-3</v>
      </c>
      <c r="BC26" s="3">
        <f t="shared" si="26"/>
        <v>40.009680280663318</v>
      </c>
      <c r="BD26" s="3">
        <f t="shared" si="70"/>
        <v>20.929463531017323</v>
      </c>
      <c r="BE26" s="14">
        <f t="shared" si="27"/>
        <v>4.827953105166086E-5</v>
      </c>
      <c r="BF26" s="108">
        <f t="shared" si="28"/>
        <v>1.118021666840043E-2</v>
      </c>
      <c r="BG26" s="3">
        <f t="shared" si="29"/>
        <v>2.0854274108987859E-3</v>
      </c>
      <c r="BH26" s="3">
        <f t="shared" si="30"/>
        <v>3.948177861810172E-4</v>
      </c>
      <c r="BI26" s="3">
        <f t="shared" si="31"/>
        <v>0.98894339853163193</v>
      </c>
      <c r="BJ26" s="3">
        <f t="shared" si="32"/>
        <v>0.99752589119938995</v>
      </c>
      <c r="BK26" s="14">
        <v>1</v>
      </c>
      <c r="BL26" s="108">
        <f t="shared" si="33"/>
        <v>1.105660146836792E-2</v>
      </c>
      <c r="BM26" s="3">
        <f t="shared" si="34"/>
        <v>-5.6645808128585884E-3</v>
      </c>
      <c r="BN26" s="14">
        <f t="shared" si="71"/>
        <v>2.0802678365884476E-3</v>
      </c>
      <c r="BO26" s="108">
        <f t="shared" si="35"/>
        <v>40.009680280663318</v>
      </c>
      <c r="BP26" s="3">
        <f t="shared" si="36"/>
        <v>3.9384096402158935E-4</v>
      </c>
      <c r="BQ26" s="1">
        <f t="shared" si="37"/>
        <v>20.929463531017323</v>
      </c>
      <c r="BR26" s="1">
        <f t="shared" si="38"/>
        <v>0.98405594493493687</v>
      </c>
      <c r="BS26" s="3">
        <f t="shared" si="39"/>
        <v>1.1969852240762465E-2</v>
      </c>
      <c r="BT26" s="3">
        <f t="shared" si="40"/>
        <v>4.1798389996699405E-3</v>
      </c>
      <c r="BU26" s="14">
        <f t="shared" si="41"/>
        <v>4.827953105166086E-5</v>
      </c>
      <c r="BV26" s="3">
        <f t="shared" si="42"/>
        <v>1.1969852240762463E-2</v>
      </c>
      <c r="BW26" s="3">
        <f t="shared" si="43"/>
        <v>4.1798389996699397E-3</v>
      </c>
      <c r="BX26" s="5">
        <f t="shared" si="44"/>
        <v>4.827953105166086E-5</v>
      </c>
      <c r="BY26" s="82">
        <f t="shared" si="45"/>
        <v>-0.40711468543874751</v>
      </c>
      <c r="BZ26" s="8">
        <f t="shared" si="46"/>
        <v>40.30808390285312</v>
      </c>
      <c r="CA26" s="13">
        <f t="shared" si="47"/>
        <v>-5.6645808128585884E-3</v>
      </c>
      <c r="CB26" s="13">
        <f t="shared" si="48"/>
        <v>40.009680280663318</v>
      </c>
      <c r="CC26" s="12">
        <f t="shared" si="49"/>
        <v>20.929463531017323</v>
      </c>
      <c r="CD26">
        <f t="shared" si="50"/>
        <v>2.2204460492503131E-13</v>
      </c>
      <c r="CE26">
        <f t="shared" si="51"/>
        <v>0</v>
      </c>
      <c r="CF26" s="333">
        <f t="shared" si="57"/>
        <v>-1.6420675628125991E-3</v>
      </c>
      <c r="CG26" s="333">
        <f t="shared" si="58"/>
        <v>-4.7024074608659205E-3</v>
      </c>
      <c r="CH26" s="10"/>
      <c r="CI26" s="13"/>
    </row>
    <row r="27" spans="1:87" x14ac:dyDescent="0.25">
      <c r="B27">
        <f>'datapoints-plots'!D15</f>
        <v>0</v>
      </c>
      <c r="C27" s="14">
        <f>'datapoints-plots'!E15</f>
        <v>50</v>
      </c>
      <c r="D27" s="3">
        <f t="shared" si="72"/>
        <v>1.1180280000000001E-2</v>
      </c>
      <c r="E27" s="3">
        <f t="shared" si="73"/>
        <v>2.10546E-3</v>
      </c>
      <c r="F27" s="36">
        <f t="shared" si="59"/>
        <v>3.9479711006544413E-4</v>
      </c>
      <c r="G27" s="3">
        <f t="shared" si="2"/>
        <v>0.98894333659275868</v>
      </c>
      <c r="H27" s="3">
        <f t="shared" si="3"/>
        <v>0.9975059785847108</v>
      </c>
      <c r="I27" s="1">
        <f t="shared" si="4"/>
        <v>1.1056663407241289E-2</v>
      </c>
      <c r="J27" s="14">
        <f t="shared" si="63"/>
        <v>0</v>
      </c>
      <c r="K27" s="3">
        <f t="shared" si="5"/>
        <v>2.1002089376709653E-3</v>
      </c>
      <c r="L27" s="14">
        <f t="shared" si="64"/>
        <v>50.000000000000043</v>
      </c>
      <c r="M27" s="3">
        <f t="shared" si="74"/>
        <v>3.9381247761824661E-4</v>
      </c>
      <c r="N27" s="14">
        <f t="shared" si="6"/>
        <v>1</v>
      </c>
      <c r="O27" s="108">
        <f t="shared" si="7"/>
        <v>4.7964379813243428E-5</v>
      </c>
      <c r="P27" s="3">
        <f t="shared" si="75"/>
        <v>0.98401654892586166</v>
      </c>
      <c r="Q27" s="3">
        <f t="shared" si="60"/>
        <v>1.1778530477136218E-2</v>
      </c>
      <c r="R27" s="3">
        <f t="shared" si="61"/>
        <v>4.1524078893568983E-3</v>
      </c>
      <c r="S27" s="108">
        <f t="shared" si="62"/>
        <v>4.7988362003150047E-5</v>
      </c>
      <c r="T27" s="1">
        <f t="shared" si="76"/>
        <v>15744.264782813787</v>
      </c>
      <c r="U27" s="1">
        <f t="shared" si="77"/>
        <v>18845.64876341795</v>
      </c>
      <c r="V27" s="1">
        <f t="shared" si="78"/>
        <v>22146.175188441703</v>
      </c>
      <c r="W27" s="1">
        <f t="shared" si="79"/>
        <v>2559.379281240876</v>
      </c>
      <c r="X27" s="1">
        <f t="shared" si="65"/>
        <v>1.196984998879693</v>
      </c>
      <c r="Y27">
        <f t="shared" si="8"/>
        <v>1.4066185683447188</v>
      </c>
      <c r="Z27" s="11">
        <f t="shared" si="9"/>
        <v>0.16255946635467269</v>
      </c>
      <c r="AA27" s="17">
        <f t="shared" si="66"/>
        <v>1.0016819106371511</v>
      </c>
      <c r="AB27" s="17">
        <f t="shared" si="10"/>
        <v>1.0499584762862018</v>
      </c>
      <c r="AC27" s="17">
        <f t="shared" si="10"/>
        <v>1.0504916392611834</v>
      </c>
      <c r="AD27" s="19"/>
      <c r="AE27" s="19"/>
      <c r="AF27" s="19"/>
      <c r="AG27" s="18">
        <f t="shared" si="80"/>
        <v>1.1973832828196229E-2</v>
      </c>
      <c r="AH27" s="18">
        <f t="shared" si="67"/>
        <v>4.2199898713847798E-3</v>
      </c>
      <c r="AI27" s="18">
        <f t="shared" si="67"/>
        <v>4.8732290719402267E-5</v>
      </c>
      <c r="AJ27" s="3">
        <f t="shared" si="11"/>
        <v>50</v>
      </c>
      <c r="AK27" s="3">
        <f t="shared" si="53"/>
        <v>2.1099949356923899E-3</v>
      </c>
      <c r="AL27" s="3">
        <f t="shared" si="12"/>
        <v>3.9726682005251197E-4</v>
      </c>
      <c r="AM27" s="3">
        <f t="shared" si="13"/>
        <v>0.99749900888363263</v>
      </c>
      <c r="AN27" s="1">
        <f t="shared" si="14"/>
        <v>9.0401502040515433E-6</v>
      </c>
      <c r="AO27" s="3">
        <f t="shared" si="54"/>
        <v>2.1054798272096952E-3</v>
      </c>
      <c r="AP27" s="3">
        <f t="shared" si="15"/>
        <v>3.9681774131752233E-4</v>
      </c>
      <c r="AQ27" s="3">
        <f t="shared" si="16"/>
        <v>0.99750394829558353</v>
      </c>
      <c r="AR27" s="14">
        <f t="shared" si="17"/>
        <v>2.4867073417783603E-10</v>
      </c>
      <c r="AS27" s="3">
        <f t="shared" si="55"/>
        <v>2.1054797030109467E-3</v>
      </c>
      <c r="AT27" s="3">
        <f t="shared" si="18"/>
        <v>3.9681772895829986E-4</v>
      </c>
      <c r="AU27" s="3">
        <f t="shared" si="19"/>
        <v>0.99750394843146073</v>
      </c>
      <c r="AV27" s="14">
        <f t="shared" si="20"/>
        <v>6.6890937233665682E-15</v>
      </c>
      <c r="AW27" s="3">
        <f t="shared" si="56"/>
        <v>2.1054797030076056E-3</v>
      </c>
      <c r="AX27" s="3">
        <f t="shared" si="21"/>
        <v>3.9681772895796749E-4</v>
      </c>
      <c r="AY27" s="3">
        <f t="shared" si="22"/>
        <v>0.9975039484314645</v>
      </c>
      <c r="AZ27">
        <f t="shared" si="23"/>
        <v>0</v>
      </c>
      <c r="BA27" s="108">
        <f t="shared" si="24"/>
        <v>1.1180197370280294E-2</v>
      </c>
      <c r="BB27" s="3">
        <f t="shared" si="25"/>
        <v>-7.3906663972111986E-3</v>
      </c>
      <c r="BC27" s="3">
        <f t="shared" si="26"/>
        <v>50.009825956316419</v>
      </c>
      <c r="BD27" s="3">
        <f t="shared" si="70"/>
        <v>26.100964354509813</v>
      </c>
      <c r="BE27" s="14">
        <f t="shared" si="27"/>
        <v>4.8752101107782225E-5</v>
      </c>
      <c r="BF27" s="108">
        <f t="shared" si="28"/>
        <v>1.1180197370280294E-2</v>
      </c>
      <c r="BG27" s="3">
        <f t="shared" si="29"/>
        <v>2.1054797030076056E-3</v>
      </c>
      <c r="BH27" s="3">
        <f t="shared" si="30"/>
        <v>3.9681772895796749E-4</v>
      </c>
      <c r="BI27" s="3">
        <f t="shared" si="31"/>
        <v>0.98894341740536851</v>
      </c>
      <c r="BJ27" s="3">
        <f t="shared" si="32"/>
        <v>0.9975039484314645</v>
      </c>
      <c r="BK27" s="14">
        <v>1</v>
      </c>
      <c r="BL27" s="108">
        <f t="shared" si="33"/>
        <v>1.1056582594631508E-2</v>
      </c>
      <c r="BM27" s="3">
        <f t="shared" si="34"/>
        <v>-7.3906663972111986E-3</v>
      </c>
      <c r="BN27" s="14">
        <f t="shared" si="71"/>
        <v>2.1002243170923939E-3</v>
      </c>
      <c r="BO27" s="108">
        <f t="shared" si="35"/>
        <v>50.009825956316419</v>
      </c>
      <c r="BP27" s="3">
        <f t="shared" si="36"/>
        <v>3.9582725144317928E-4</v>
      </c>
      <c r="BQ27" s="1">
        <f t="shared" si="37"/>
        <v>26.100964354509813</v>
      </c>
      <c r="BR27" s="1">
        <f t="shared" si="38"/>
        <v>0.98401267125685354</v>
      </c>
      <c r="BS27" s="3">
        <f t="shared" si="39"/>
        <v>1.1973832828196229E-2</v>
      </c>
      <c r="BT27" s="3">
        <f t="shared" si="40"/>
        <v>4.2199898713847798E-3</v>
      </c>
      <c r="BU27" s="14">
        <f t="shared" si="41"/>
        <v>4.8752101107782225E-5</v>
      </c>
      <c r="BV27" s="3">
        <f t="shared" si="42"/>
        <v>1.1973832828196227E-2</v>
      </c>
      <c r="BW27" s="3">
        <f t="shared" si="43"/>
        <v>4.2199898713847798E-3</v>
      </c>
      <c r="BX27" s="5">
        <f t="shared" si="44"/>
        <v>4.8752101107782218E-5</v>
      </c>
      <c r="BY27" s="82">
        <f t="shared" si="45"/>
        <v>-0.40634942761041959</v>
      </c>
      <c r="BZ27" s="8">
        <f t="shared" si="46"/>
        <v>50.491639261183387</v>
      </c>
      <c r="CA27" s="13">
        <f t="shared" si="47"/>
        <v>-7.3906663972111986E-3</v>
      </c>
      <c r="CB27" s="13">
        <f t="shared" si="48"/>
        <v>50.009825956316419</v>
      </c>
      <c r="CC27" s="12">
        <f t="shared" si="49"/>
        <v>26.100964354509813</v>
      </c>
      <c r="CD27">
        <f t="shared" si="50"/>
        <v>2.2204460492503131E-13</v>
      </c>
      <c r="CE27">
        <f t="shared" si="51"/>
        <v>0</v>
      </c>
      <c r="CF27" s="85">
        <f t="shared" si="57"/>
        <v>-1.6544734391388261E-3</v>
      </c>
      <c r="CG27" s="333">
        <f t="shared" si="58"/>
        <v>-4.6944160966289061E-3</v>
      </c>
      <c r="CH27" s="10"/>
      <c r="CI27" s="13"/>
    </row>
    <row r="28" spans="1:87" x14ac:dyDescent="0.25">
      <c r="B28">
        <f>'datapoints-plots'!D16</f>
        <v>-10</v>
      </c>
      <c r="C28" s="14">
        <f>'datapoints-plots'!E16</f>
        <v>50</v>
      </c>
      <c r="D28" s="3">
        <f t="shared" si="72"/>
        <v>1.1068477200000001E-2</v>
      </c>
      <c r="E28" s="3">
        <f t="shared" si="73"/>
        <v>2.10546E-3</v>
      </c>
      <c r="F28" s="36">
        <f t="shared" si="59"/>
        <v>3.9479711006544413E-4</v>
      </c>
      <c r="G28" s="3">
        <f t="shared" si="2"/>
        <v>0.98905269281992403</v>
      </c>
      <c r="H28" s="3">
        <f t="shared" si="3"/>
        <v>0.9975059785847108</v>
      </c>
      <c r="I28" s="1">
        <f t="shared" si="4"/>
        <v>1.0947307180075933E-2</v>
      </c>
      <c r="J28" s="14">
        <f t="shared" si="63"/>
        <v>-10.000000000000009</v>
      </c>
      <c r="K28" s="3">
        <f t="shared" si="5"/>
        <v>2.1002089376709653E-3</v>
      </c>
      <c r="L28" s="14">
        <f t="shared" si="64"/>
        <v>50.000000000000043</v>
      </c>
      <c r="M28" s="3">
        <f t="shared" si="74"/>
        <v>3.9381247761824661E-4</v>
      </c>
      <c r="N28" s="14">
        <f t="shared" si="6"/>
        <v>1</v>
      </c>
      <c r="O28" s="108">
        <f t="shared" si="7"/>
        <v>4.7506347504977107E-5</v>
      </c>
      <c r="P28" s="3">
        <f t="shared" si="75"/>
        <v>0.98412536080634949</v>
      </c>
      <c r="Q28" s="3">
        <f t="shared" si="60"/>
        <v>1.1669805198469028E-2</v>
      </c>
      <c r="R28" s="3">
        <f t="shared" si="61"/>
        <v>4.1527806334609729E-3</v>
      </c>
      <c r="S28" s="108">
        <f t="shared" si="62"/>
        <v>4.7530100678729595E-5</v>
      </c>
      <c r="T28" s="1">
        <f t="shared" si="76"/>
        <v>15746.005772901592</v>
      </c>
      <c r="U28" s="1">
        <f t="shared" si="77"/>
        <v>18671.688317550444</v>
      </c>
      <c r="V28" s="1">
        <f t="shared" si="78"/>
        <v>22148.163156976887</v>
      </c>
      <c r="W28" s="1">
        <f t="shared" si="79"/>
        <v>2534.9386775161911</v>
      </c>
      <c r="X28" s="1">
        <f t="shared" si="65"/>
        <v>1.1858047422847937</v>
      </c>
      <c r="Y28">
        <f t="shared" si="8"/>
        <v>1.4065892948606191</v>
      </c>
      <c r="Z28" s="11">
        <f t="shared" si="9"/>
        <v>0.16098931462852284</v>
      </c>
      <c r="AA28" s="17">
        <f t="shared" si="66"/>
        <v>0.99232585287713393</v>
      </c>
      <c r="AB28" s="17">
        <f t="shared" si="10"/>
        <v>1.0499366253427742</v>
      </c>
      <c r="AC28" s="17">
        <f t="shared" si="10"/>
        <v>1.040345006169431</v>
      </c>
      <c r="AD28" s="19"/>
      <c r="AE28" s="19"/>
      <c r="AF28" s="19"/>
      <c r="AG28" s="18">
        <f t="shared" si="80"/>
        <v>1.1861993061140703E-2</v>
      </c>
      <c r="AH28" s="18">
        <f t="shared" si="67"/>
        <v>4.2199020481403114E-3</v>
      </c>
      <c r="AI28" s="18">
        <f t="shared" si="67"/>
        <v>4.8261588568932853E-5</v>
      </c>
      <c r="AJ28" s="3">
        <f t="shared" si="11"/>
        <v>50</v>
      </c>
      <c r="AK28" s="3">
        <f t="shared" si="53"/>
        <v>2.1099510240701557E-3</v>
      </c>
      <c r="AL28" s="3">
        <f t="shared" si="12"/>
        <v>3.9726245472916362E-4</v>
      </c>
      <c r="AM28" s="3">
        <f t="shared" si="13"/>
        <v>0.99749905691940199</v>
      </c>
      <c r="AN28" s="1">
        <f t="shared" si="14"/>
        <v>8.9511965890853862E-6</v>
      </c>
      <c r="AO28" s="3">
        <f t="shared" si="54"/>
        <v>2.1054803435242137E-3</v>
      </c>
      <c r="AP28" s="3">
        <f t="shared" si="15"/>
        <v>3.9681779269682788E-4</v>
      </c>
      <c r="AQ28" s="3">
        <f t="shared" si="16"/>
        <v>0.99750394773072026</v>
      </c>
      <c r="AR28" s="14">
        <f t="shared" si="17"/>
        <v>3.456333275142498E-10</v>
      </c>
      <c r="AS28" s="3">
        <f t="shared" si="55"/>
        <v>2.1054801708974393E-3</v>
      </c>
      <c r="AT28" s="3">
        <f t="shared" si="18"/>
        <v>3.9681777551845473E-4</v>
      </c>
      <c r="AU28" s="3">
        <f t="shared" si="19"/>
        <v>0.99750394791957897</v>
      </c>
      <c r="AV28" s="14">
        <f t="shared" si="20"/>
        <v>1.3139662968786325E-14</v>
      </c>
      <c r="AW28" s="3">
        <f t="shared" si="56"/>
        <v>2.1054801708908768E-3</v>
      </c>
      <c r="AX28" s="3">
        <f t="shared" si="21"/>
        <v>3.9681777551780166E-4</v>
      </c>
      <c r="AY28" s="3">
        <f t="shared" si="22"/>
        <v>0.9975039479195863</v>
      </c>
      <c r="AZ28">
        <f t="shared" si="23"/>
        <v>0</v>
      </c>
      <c r="BA28" s="108">
        <f t="shared" si="24"/>
        <v>1.10683575101051E-2</v>
      </c>
      <c r="BB28" s="3">
        <f t="shared" si="25"/>
        <v>-10.010705446992452</v>
      </c>
      <c r="BC28" s="3">
        <f t="shared" si="26"/>
        <v>50.010059291281109</v>
      </c>
      <c r="BD28" s="3">
        <f t="shared" si="70"/>
        <v>26.101084750064896</v>
      </c>
      <c r="BE28" s="14">
        <f t="shared" si="27"/>
        <v>4.8281141311021655E-5</v>
      </c>
      <c r="BF28" s="108">
        <f t="shared" si="28"/>
        <v>1.10683575101051E-2</v>
      </c>
      <c r="BG28" s="3">
        <f t="shared" si="29"/>
        <v>2.1054801708908768E-3</v>
      </c>
      <c r="BH28" s="3">
        <f t="shared" si="30"/>
        <v>3.9681777551780166E-4</v>
      </c>
      <c r="BI28" s="3">
        <f t="shared" si="31"/>
        <v>0.98905280990361277</v>
      </c>
      <c r="BJ28" s="3">
        <f t="shared" si="32"/>
        <v>0.9975039479195863</v>
      </c>
      <c r="BK28" s="14">
        <v>1</v>
      </c>
      <c r="BL28" s="108">
        <f t="shared" si="33"/>
        <v>1.0947190096387205E-2</v>
      </c>
      <c r="BM28" s="3">
        <f t="shared" si="34"/>
        <v>-10.010705446992452</v>
      </c>
      <c r="BN28" s="14">
        <f t="shared" si="71"/>
        <v>2.1002247827300547E-3</v>
      </c>
      <c r="BO28" s="108">
        <f t="shared" si="35"/>
        <v>50.010059291281109</v>
      </c>
      <c r="BP28" s="3">
        <f t="shared" si="36"/>
        <v>3.9582729768367531E-4</v>
      </c>
      <c r="BQ28" s="1">
        <f t="shared" si="37"/>
        <v>26.101084750064896</v>
      </c>
      <c r="BR28" s="1">
        <f t="shared" si="38"/>
        <v>0.98412151732798747</v>
      </c>
      <c r="BS28" s="3">
        <f t="shared" si="39"/>
        <v>1.1861993061140703E-2</v>
      </c>
      <c r="BT28" s="3">
        <f t="shared" si="40"/>
        <v>4.2199020481403123E-3</v>
      </c>
      <c r="BU28" s="14">
        <f t="shared" si="41"/>
        <v>4.8281141311021655E-5</v>
      </c>
      <c r="BV28" s="3">
        <f t="shared" si="42"/>
        <v>1.1861993061140703E-2</v>
      </c>
      <c r="BW28" s="3">
        <f t="shared" si="43"/>
        <v>4.2199020481403105E-3</v>
      </c>
      <c r="BX28" s="5">
        <f t="shared" si="44"/>
        <v>4.8281141311021655E-5</v>
      </c>
      <c r="BY28" s="82">
        <f t="shared" si="45"/>
        <v>-0.40497679959228261</v>
      </c>
      <c r="BZ28" s="8">
        <f t="shared" si="46"/>
        <v>40.345006169431045</v>
      </c>
      <c r="CA28" s="13">
        <f t="shared" si="47"/>
        <v>-10.010705446992452</v>
      </c>
      <c r="CB28" s="13">
        <f t="shared" si="48"/>
        <v>50.010059291281109</v>
      </c>
      <c r="CC28" s="12">
        <f t="shared" si="49"/>
        <v>26.101084750064896</v>
      </c>
      <c r="CD28">
        <f t="shared" si="50"/>
        <v>0</v>
      </c>
      <c r="CE28">
        <f t="shared" si="51"/>
        <v>2.2204460492503131E-13</v>
      </c>
      <c r="CF28" s="85">
        <f t="shared" si="57"/>
        <v>-1.6483521771970544E-3</v>
      </c>
      <c r="CG28" s="333">
        <f t="shared" si="58"/>
        <v>-4.6334587544549777E-3</v>
      </c>
      <c r="CH28" s="10"/>
      <c r="CI28" s="13"/>
    </row>
    <row r="29" spans="1:87" x14ac:dyDescent="0.25">
      <c r="B29">
        <f>'datapoints-plots'!D17</f>
        <v>-10</v>
      </c>
      <c r="C29" s="14">
        <f>'datapoints-plots'!E17</f>
        <v>40</v>
      </c>
      <c r="D29" s="3">
        <f t="shared" si="72"/>
        <v>1.1068477200000001E-2</v>
      </c>
      <c r="E29" s="3">
        <f t="shared" si="73"/>
        <v>2.085408E-3</v>
      </c>
      <c r="F29" s="36">
        <f t="shared" si="59"/>
        <v>3.9280736150210311E-4</v>
      </c>
      <c r="G29" s="3">
        <f t="shared" si="2"/>
        <v>0.98905269281992403</v>
      </c>
      <c r="H29" s="3">
        <f t="shared" si="3"/>
        <v>0.99752791100741445</v>
      </c>
      <c r="I29" s="1">
        <f t="shared" si="4"/>
        <v>1.0947307180075933E-2</v>
      </c>
      <c r="J29" s="14">
        <f t="shared" si="63"/>
        <v>-10.000000000000009</v>
      </c>
      <c r="K29" s="3">
        <f t="shared" si="5"/>
        <v>2.08025268583815E-3</v>
      </c>
      <c r="L29" s="14">
        <f t="shared" si="64"/>
        <v>40.000000000000036</v>
      </c>
      <c r="M29" s="3">
        <f t="shared" si="74"/>
        <v>3.9183630674752718E-4</v>
      </c>
      <c r="N29" s="14">
        <f t="shared" si="6"/>
        <v>1</v>
      </c>
      <c r="O29" s="108">
        <f t="shared" si="7"/>
        <v>4.7047806901794532E-5</v>
      </c>
      <c r="P29" s="3">
        <f t="shared" si="75"/>
        <v>0.984168638174724</v>
      </c>
      <c r="Q29" s="3">
        <f t="shared" si="60"/>
        <v>1.1666402115154529E-2</v>
      </c>
      <c r="R29" s="3">
        <f t="shared" si="61"/>
        <v>4.1134497146869189E-3</v>
      </c>
      <c r="S29" s="108">
        <f t="shared" si="62"/>
        <v>4.7071330805245424E-5</v>
      </c>
      <c r="T29" s="1">
        <f t="shared" si="76"/>
        <v>15746.698210795585</v>
      </c>
      <c r="U29" s="1">
        <f t="shared" si="77"/>
        <v>18666.243384247246</v>
      </c>
      <c r="V29" s="1">
        <f t="shared" si="78"/>
        <v>21938.398258946247</v>
      </c>
      <c r="W29" s="1">
        <f t="shared" si="79"/>
        <v>2510.4709511750457</v>
      </c>
      <c r="X29" s="1">
        <f t="shared" si="65"/>
        <v>1.185406815725349</v>
      </c>
      <c r="Y29">
        <f t="shared" si="8"/>
        <v>1.3932062433193626</v>
      </c>
      <c r="Z29" s="11">
        <f t="shared" si="9"/>
        <v>0.15942840318447984</v>
      </c>
      <c r="AA29" s="17">
        <f t="shared" si="66"/>
        <v>0.99199285301771134</v>
      </c>
      <c r="AB29" s="17">
        <f t="shared" si="10"/>
        <v>1.0399469602547802</v>
      </c>
      <c r="AC29" s="17">
        <f t="shared" si="10"/>
        <v>1.0302580856205119</v>
      </c>
      <c r="AD29" s="19"/>
      <c r="AE29" s="19"/>
      <c r="AF29" s="19"/>
      <c r="AG29" s="18">
        <f t="shared" si="80"/>
        <v>1.1858012471488244E-2</v>
      </c>
      <c r="AH29" s="18">
        <f t="shared" si="67"/>
        <v>4.1797516170118615E-3</v>
      </c>
      <c r="AI29" s="18">
        <f t="shared" si="67"/>
        <v>4.7793656482391778E-5</v>
      </c>
      <c r="AJ29" s="3">
        <f t="shared" si="11"/>
        <v>40</v>
      </c>
      <c r="AK29" s="3">
        <f t="shared" si="53"/>
        <v>2.0898758085059308E-3</v>
      </c>
      <c r="AL29" s="3">
        <f t="shared" si="12"/>
        <v>3.9526223391721449E-4</v>
      </c>
      <c r="AM29" s="3">
        <f t="shared" si="13"/>
        <v>0.99752102255872255</v>
      </c>
      <c r="AN29" s="1">
        <f t="shared" si="14"/>
        <v>8.9053522979139557E-6</v>
      </c>
      <c r="AO29" s="3">
        <f t="shared" si="54"/>
        <v>2.0854280249189196E-3</v>
      </c>
      <c r="AP29" s="3">
        <f t="shared" si="15"/>
        <v>3.9481784755978071E-4</v>
      </c>
      <c r="AQ29" s="3">
        <f t="shared" si="16"/>
        <v>0.99752589052732898</v>
      </c>
      <c r="AR29" s="14">
        <f t="shared" si="17"/>
        <v>2.9934838288725452E-10</v>
      </c>
      <c r="AS29" s="3">
        <f t="shared" si="55"/>
        <v>2.0854278754091891E-3</v>
      </c>
      <c r="AT29" s="3">
        <f t="shared" si="18"/>
        <v>3.9481783261446966E-4</v>
      </c>
      <c r="AU29" s="3">
        <f t="shared" si="19"/>
        <v>0.9975258906909712</v>
      </c>
      <c r="AV29" s="14">
        <f t="shared" si="20"/>
        <v>9.8818522809018816E-15</v>
      </c>
      <c r="AW29" s="3">
        <f t="shared" si="56"/>
        <v>2.0854278754042538E-3</v>
      </c>
      <c r="AX29" s="3">
        <f t="shared" si="21"/>
        <v>3.9481783261397624E-4</v>
      </c>
      <c r="AY29" s="3">
        <f t="shared" si="22"/>
        <v>0.99752589069097641</v>
      </c>
      <c r="AZ29">
        <f t="shared" si="23"/>
        <v>0</v>
      </c>
      <c r="BA29" s="108">
        <f t="shared" si="24"/>
        <v>1.1068376806260291E-2</v>
      </c>
      <c r="BB29" s="3">
        <f t="shared" si="25"/>
        <v>-10.008979537159179</v>
      </c>
      <c r="BC29" s="3">
        <f t="shared" si="26"/>
        <v>40.009911931106146</v>
      </c>
      <c r="BD29" s="3">
        <f t="shared" si="70"/>
        <v>20.929583598495505</v>
      </c>
      <c r="BE29" s="14">
        <f t="shared" si="27"/>
        <v>4.7813056633169648E-5</v>
      </c>
      <c r="BF29" s="108">
        <f t="shared" si="28"/>
        <v>1.1068376806260291E-2</v>
      </c>
      <c r="BG29" s="3">
        <f t="shared" si="29"/>
        <v>2.0854278754042538E-3</v>
      </c>
      <c r="BH29" s="3">
        <f t="shared" si="30"/>
        <v>3.9481783261397624E-4</v>
      </c>
      <c r="BI29" s="3">
        <f t="shared" si="31"/>
        <v>0.98905279102762289</v>
      </c>
      <c r="BJ29" s="3">
        <f t="shared" si="32"/>
        <v>0.99752589069097641</v>
      </c>
      <c r="BK29" s="14">
        <v>1</v>
      </c>
      <c r="BL29" s="108">
        <f t="shared" si="33"/>
        <v>1.0947208972377147E-2</v>
      </c>
      <c r="BM29" s="3">
        <f t="shared" si="34"/>
        <v>-10.008979537159179</v>
      </c>
      <c r="BN29" s="14">
        <f t="shared" si="71"/>
        <v>2.0802682988844187E-3</v>
      </c>
      <c r="BO29" s="108">
        <f t="shared" si="35"/>
        <v>40.009911931106146</v>
      </c>
      <c r="BP29" s="3">
        <f t="shared" si="36"/>
        <v>3.9384101013893751E-4</v>
      </c>
      <c r="BQ29" s="1">
        <f t="shared" si="37"/>
        <v>20.929583598495505</v>
      </c>
      <c r="BR29" s="1">
        <f t="shared" si="38"/>
        <v>0.98416479579946115</v>
      </c>
      <c r="BS29" s="3">
        <f t="shared" si="39"/>
        <v>1.1858012471488244E-2</v>
      </c>
      <c r="BT29" s="3">
        <f t="shared" si="40"/>
        <v>4.1797516170118624E-3</v>
      </c>
      <c r="BU29" s="14">
        <f t="shared" si="41"/>
        <v>4.7813056633169648E-5</v>
      </c>
      <c r="BV29" s="3">
        <f t="shared" si="42"/>
        <v>1.1858012471488245E-2</v>
      </c>
      <c r="BW29" s="3">
        <f t="shared" si="43"/>
        <v>4.1797516170118624E-3</v>
      </c>
      <c r="BX29" s="5">
        <f t="shared" si="44"/>
        <v>4.7813056633169635E-5</v>
      </c>
      <c r="BY29" s="82">
        <f t="shared" si="45"/>
        <v>-0.40575006376808442</v>
      </c>
      <c r="BZ29" s="8">
        <f t="shared" si="46"/>
        <v>30.25808562051191</v>
      </c>
      <c r="CA29" s="13">
        <f t="shared" si="47"/>
        <v>-10.008979537159179</v>
      </c>
      <c r="CB29" s="13">
        <f t="shared" si="48"/>
        <v>40.009911931106146</v>
      </c>
      <c r="CC29" s="12">
        <f t="shared" si="49"/>
        <v>20.929583598495505</v>
      </c>
      <c r="CD29">
        <f t="shared" si="50"/>
        <v>-1.1102230246251565E-13</v>
      </c>
      <c r="CE29">
        <f t="shared" si="51"/>
        <v>-2.2204460492503131E-13</v>
      </c>
      <c r="CF29" s="85">
        <f t="shared" si="57"/>
        <v>-1.6360373060742006E-3</v>
      </c>
      <c r="CG29" s="333">
        <f t="shared" si="58"/>
        <v>-4.6414602005162564E-3</v>
      </c>
      <c r="CH29" s="10"/>
      <c r="CI29" s="13"/>
    </row>
    <row r="30" spans="1:87" x14ac:dyDescent="0.25">
      <c r="B30">
        <f>'datapoints-plots'!D18</f>
        <v>-10</v>
      </c>
      <c r="C30" s="14">
        <f>'datapoints-plots'!E18</f>
        <v>30</v>
      </c>
      <c r="D30" s="3">
        <f t="shared" si="72"/>
        <v>1.1068477200000001E-2</v>
      </c>
      <c r="E30" s="3">
        <f t="shared" si="73"/>
        <v>2.065356E-3</v>
      </c>
      <c r="F30" s="36">
        <f t="shared" si="59"/>
        <v>3.9080856184556311E-4</v>
      </c>
      <c r="G30" s="3">
        <f>1/(1+D30)</f>
        <v>0.98905269281992403</v>
      </c>
      <c r="H30" s="3">
        <f>1/(1+E30+F30)</f>
        <v>0.99754985340140134</v>
      </c>
      <c r="I30" s="1">
        <f>D30*G30</f>
        <v>1.0947307180075933E-2</v>
      </c>
      <c r="J30" s="14">
        <f>1000*((D30/D$19)*(1+B$19/1000) -1)</f>
        <v>-10.000000000000009</v>
      </c>
      <c r="K30" s="3">
        <f>E30*H30</f>
        <v>2.0602955750217045E-3</v>
      </c>
      <c r="L30" s="14">
        <f>1000*((E30/E$19)*(1+C$19/1000) -1)</f>
        <v>30.000000000000028</v>
      </c>
      <c r="M30" s="3">
        <f t="shared" si="74"/>
        <v>3.8985102357705397E-4</v>
      </c>
      <c r="N30" s="14">
        <f>H30+K30+M30</f>
        <v>1.0000000000000002</v>
      </c>
      <c r="O30" s="108">
        <f t="shared" si="7"/>
        <v>4.6589347050531248E-5</v>
      </c>
      <c r="P30" s="3">
        <f t="shared" si="75"/>
        <v>0.98421193617049052</v>
      </c>
      <c r="Q30" s="3">
        <f t="shared" si="60"/>
        <v>1.1662981115425498E-2</v>
      </c>
      <c r="R30" s="3">
        <f t="shared" si="61"/>
        <v>4.0741152097476347E-3</v>
      </c>
      <c r="S30" s="108">
        <f t="shared" si="62"/>
        <v>4.661264172405651E-5</v>
      </c>
      <c r="T30" s="1">
        <f t="shared" si="76"/>
        <v>15747.390978727848</v>
      </c>
      <c r="U30" s="1">
        <f t="shared" si="77"/>
        <v>18660.769784680797</v>
      </c>
      <c r="V30" s="1">
        <f t="shared" si="78"/>
        <v>21728.614234701239</v>
      </c>
      <c r="W30" s="1">
        <f t="shared" si="79"/>
        <v>2486.0075337562716</v>
      </c>
      <c r="X30" s="1">
        <f>U30/T30</f>
        <v>1.1850070789433276</v>
      </c>
      <c r="Y30">
        <f>V30/T30</f>
        <v>1.3798231252436068</v>
      </c>
      <c r="Z30" s="11">
        <f>W30/T30</f>
        <v>0.15786789933103595</v>
      </c>
      <c r="AA30" s="17">
        <f t="shared" ref="AA30:AC31" si="81">X30/X$19</f>
        <v>0.99165833829618866</v>
      </c>
      <c r="AB30" s="17">
        <f t="shared" si="81"/>
        <v>1.0299572455026746</v>
      </c>
      <c r="AC30" s="17">
        <f t="shared" si="81"/>
        <v>1.0201737990032007</v>
      </c>
      <c r="AD30" s="19"/>
      <c r="AE30" s="19"/>
      <c r="AF30" s="19"/>
      <c r="AG30" s="18">
        <f t="shared" ref="AG30:AI31" si="82">AA30*AG$19</f>
        <v>1.1854013773586695E-2</v>
      </c>
      <c r="AH30" s="18">
        <f t="shared" si="82"/>
        <v>4.1396009862735682E-3</v>
      </c>
      <c r="AI30" s="18">
        <f t="shared" si="82"/>
        <v>4.7325846583896808E-5</v>
      </c>
      <c r="AJ30" s="3">
        <f t="shared" si="11"/>
        <v>30</v>
      </c>
      <c r="AK30" s="3">
        <f t="shared" si="53"/>
        <v>2.0698004931367841E-3</v>
      </c>
      <c r="AL30" s="3">
        <f t="shared" si="12"/>
        <v>3.9325291332355196E-4</v>
      </c>
      <c r="AM30" s="3">
        <f>1/(1+AK30+AL30)</f>
        <v>0.99754299831989757</v>
      </c>
      <c r="AN30" s="1">
        <f>-3*AL30*AL30+2*AG30*AL30+2*AK30-AH30</f>
        <v>8.8593073405687436E-6</v>
      </c>
      <c r="AO30" s="3">
        <f t="shared" si="54"/>
        <v>2.0653757067315456E-3</v>
      </c>
      <c r="AP30" s="3">
        <f t="shared" si="15"/>
        <v>3.9280880493136372E-4</v>
      </c>
      <c r="AQ30" s="3">
        <f>1/(1+AO30+AP30)</f>
        <v>0.99754784334185431</v>
      </c>
      <c r="AR30" s="14">
        <f>-3*AP30*AP30+2*AG30*AP30+2*AO30-AH30</f>
        <v>2.5288591359862167E-10</v>
      </c>
      <c r="AS30" s="3">
        <f t="shared" si="55"/>
        <v>2.0653755804275233E-3</v>
      </c>
      <c r="AT30" s="3">
        <f>$D$9*AS30^$D$8</f>
        <v>3.9280879224803478E-4</v>
      </c>
      <c r="AU30" s="3">
        <f>1/(1+AS30+AT30)</f>
        <v>0.99754784348016079</v>
      </c>
      <c r="AV30" s="14">
        <f>-3*AT30*AT30+2*$AG30*AT30+2*AS30-$AH30</f>
        <v>7.0646613559155469E-15</v>
      </c>
      <c r="AW30" s="3">
        <f t="shared" si="56"/>
        <v>2.0653755804239948E-3</v>
      </c>
      <c r="AX30" s="3">
        <f>$D$9*AW30^$D$8</f>
        <v>3.9280879224768035E-4</v>
      </c>
      <c r="AY30" s="3">
        <f>1/(1+AW30+AX30)</f>
        <v>0.99754784348016456</v>
      </c>
      <c r="AZ30">
        <f>-3*AX30*AX30+2*$AG30*AX30+2*AW30-$AH30</f>
        <v>0</v>
      </c>
      <c r="BA30" s="108">
        <f>AG30-2*AX30</f>
        <v>1.1068396189091334E-2</v>
      </c>
      <c r="BB30" s="3">
        <f t="shared" si="25"/>
        <v>-10.007245874760429</v>
      </c>
      <c r="BC30" s="3">
        <f t="shared" si="26"/>
        <v>30.009764823456521</v>
      </c>
      <c r="BD30" s="3">
        <f>1000*(AX30/AX$19 -1)</f>
        <v>15.734558006527344</v>
      </c>
      <c r="BE30" s="14">
        <f>2*BA30*AW30+ 2*AX30*AW30+BA30*AX30*AX30</f>
        <v>4.7345093621049127E-5</v>
      </c>
      <c r="BF30" s="108">
        <f>(1+BB30/1000)*$D$7</f>
        <v>1.1068396189091334E-2</v>
      </c>
      <c r="BG30" s="3">
        <f>(1+BC30/1000)*$D$6</f>
        <v>2.0653755804239948E-3</v>
      </c>
      <c r="BH30" s="3">
        <f>$D$9*BG30^$D$8</f>
        <v>3.9280879224768035E-4</v>
      </c>
      <c r="BI30" s="3">
        <f>1/(1+BF30)</f>
        <v>0.98905277206684505</v>
      </c>
      <c r="BJ30" s="3">
        <f>1/(1+BG30+BH30)</f>
        <v>0.99754784348016456</v>
      </c>
      <c r="BK30" s="14">
        <v>1</v>
      </c>
      <c r="BL30" s="108">
        <f>BF30*BI30</f>
        <v>1.0947227933154887E-2</v>
      </c>
      <c r="BM30" s="3">
        <f t="shared" si="34"/>
        <v>-10.007245874760429</v>
      </c>
      <c r="BN30" s="14">
        <f>BG30*BJ30</f>
        <v>2.0603109562285491E-3</v>
      </c>
      <c r="BO30" s="108">
        <f t="shared" si="35"/>
        <v>30.009764823456521</v>
      </c>
      <c r="BP30" s="3">
        <f>BH30*BJ30</f>
        <v>3.918455636067215E-4</v>
      </c>
      <c r="BQ30" s="1">
        <f t="shared" si="37"/>
        <v>15.734558006527344</v>
      </c>
      <c r="BR30" s="1">
        <f>BI30*BJ30*BJ30</f>
        <v>0.98420809490500738</v>
      </c>
      <c r="BS30" s="3">
        <f>BF30*BK30*BK30+2*BK30*BH30*BK30</f>
        <v>1.1854013773586695E-2</v>
      </c>
      <c r="BT30" s="3">
        <f>2*BG30*BK30*BK30+2*BF30*BH30*BK30+BK30*BH30*BH30</f>
        <v>4.1396009862735682E-3</v>
      </c>
      <c r="BU30" s="14">
        <f>2*BF30*BG30*BK30+2*BK30*BG30*BH30+BF30*BH30*BH30</f>
        <v>4.7345093621049127E-5</v>
      </c>
      <c r="BV30" s="3">
        <f>(BL30*BJ30*BJ30+2*BI30*BP30*BJ30)/BR30</f>
        <v>1.1854013773586693E-2</v>
      </c>
      <c r="BW30" s="3">
        <f>(2*BN30*BJ30*BI30+2*BL30*BP30*BJ30+BI30*BP30*BP30)/BR30</f>
        <v>4.1396009862735682E-3</v>
      </c>
      <c r="BX30" s="5">
        <f>(2*BL30*BN30*BJ30+2*BI30*BN30*BP30+BL30*BP30*BP30)/BR30</f>
        <v>4.7345093621049127E-5</v>
      </c>
      <c r="BY30" s="82">
        <f>1000*(AI30/BX30-1)</f>
        <v>-0.40652654119499587</v>
      </c>
      <c r="BZ30" s="8">
        <f>1000*(AI30/AI$19 -1)</f>
        <v>20.17379900320071</v>
      </c>
      <c r="CA30" s="13">
        <f>BM30</f>
        <v>-10.007245874760429</v>
      </c>
      <c r="CB30" s="13">
        <f>BO30</f>
        <v>30.009764823456521</v>
      </c>
      <c r="CC30" s="12">
        <f>BQ30</f>
        <v>15.734558006527344</v>
      </c>
      <c r="CD30">
        <f>1000*(AG30/BV30-1)</f>
        <v>2.2204460492503131E-13</v>
      </c>
      <c r="CE30">
        <f>1000*(AH30/BW30-1)</f>
        <v>0</v>
      </c>
      <c r="CF30" s="85">
        <f t="shared" si="57"/>
        <v>-1.6236725819407383E-3</v>
      </c>
      <c r="CG30" s="333">
        <f t="shared" si="58"/>
        <v>-4.6494909089478398E-3</v>
      </c>
      <c r="CH30" s="10"/>
      <c r="CI30" s="13"/>
    </row>
    <row r="31" spans="1:87" s="36" customFormat="1" x14ac:dyDescent="0.25">
      <c r="B31" s="36">
        <f>'datapoints-plots'!D19</f>
        <v>-10</v>
      </c>
      <c r="C31" s="14">
        <f>'datapoints-plots'!E19</f>
        <v>20</v>
      </c>
      <c r="D31" s="3">
        <f t="shared" si="72"/>
        <v>1.1068477200000001E-2</v>
      </c>
      <c r="E31" s="3">
        <f t="shared" si="73"/>
        <v>2.045304E-3</v>
      </c>
      <c r="F31" s="36">
        <f t="shared" si="59"/>
        <v>3.8880058144338234E-4</v>
      </c>
      <c r="G31" s="3">
        <f>1/(1+D31)</f>
        <v>0.98905269281992403</v>
      </c>
      <c r="H31" s="3">
        <f>1/(1+E31+F31)</f>
        <v>0.99757180589694749</v>
      </c>
      <c r="I31" s="1">
        <f>D31*G31</f>
        <v>1.0947307180075933E-2</v>
      </c>
      <c r="J31" s="14">
        <f>1000*((D31/D$19)*(1+B$19/1000) -1)</f>
        <v>-10.000000000000009</v>
      </c>
      <c r="K31" s="3">
        <f>E31*H31</f>
        <v>2.0403376048882503E-3</v>
      </c>
      <c r="L31" s="14">
        <f>1000*((E31/E$19)*(1+C$19/1000) -1)</f>
        <v>20.000000000000018</v>
      </c>
      <c r="M31" s="3">
        <f t="shared" si="74"/>
        <v>3.8785649816425812E-4</v>
      </c>
      <c r="N31" s="14">
        <f>H31+K31+M31</f>
        <v>1</v>
      </c>
      <c r="O31" s="108">
        <f t="shared" si="7"/>
        <v>4.6130968500103033E-5</v>
      </c>
      <c r="P31" s="3">
        <f t="shared" si="75"/>
        <v>0.98425525505202049</v>
      </c>
      <c r="Q31" s="3">
        <f t="shared" si="60"/>
        <v>1.1659541944521417E-2</v>
      </c>
      <c r="R31" s="3">
        <f t="shared" si="61"/>
        <v>4.0347771143739459E-3</v>
      </c>
      <c r="S31" s="108">
        <f t="shared" si="62"/>
        <v>4.6154033984353084E-5</v>
      </c>
      <c r="T31" s="1">
        <f t="shared" si="76"/>
        <v>15748.084080832328</v>
      </c>
      <c r="U31" s="1">
        <f t="shared" si="77"/>
        <v>18655.267111234265</v>
      </c>
      <c r="V31" s="1">
        <f t="shared" si="78"/>
        <v>21518.81106147293</v>
      </c>
      <c r="W31" s="1">
        <f t="shared" si="79"/>
        <v>2461.5484545500126</v>
      </c>
      <c r="X31" s="1">
        <f>U31/T31</f>
        <v>1.184605506008213</v>
      </c>
      <c r="Y31" s="36">
        <f>V31/T31</f>
        <v>1.366439939679037</v>
      </c>
      <c r="Z31" s="11">
        <f>W31/T31</f>
        <v>0.1563078049313992</v>
      </c>
      <c r="AA31" s="17">
        <f t="shared" si="81"/>
        <v>0.99132228701293756</v>
      </c>
      <c r="AB31" s="17">
        <f t="shared" si="81"/>
        <v>1.0199674803741174</v>
      </c>
      <c r="AC31" s="17">
        <f t="shared" si="81"/>
        <v>1.010092158357919</v>
      </c>
      <c r="AD31" s="19"/>
      <c r="AE31" s="19"/>
      <c r="AF31" s="19"/>
      <c r="AG31" s="18">
        <f t="shared" si="82"/>
        <v>1.1849996708044611E-2</v>
      </c>
      <c r="AH31" s="18">
        <f t="shared" si="82"/>
        <v>4.0994501530623954E-3</v>
      </c>
      <c r="AI31" s="18">
        <f t="shared" si="82"/>
        <v>4.6858159432002909E-5</v>
      </c>
      <c r="AJ31" s="3">
        <f t="shared" si="11"/>
        <v>20</v>
      </c>
      <c r="AK31" s="3">
        <f t="shared" si="53"/>
        <v>2.0497250765311977E-3</v>
      </c>
      <c r="AL31" s="3">
        <f t="shared" si="12"/>
        <v>3.9123436258842783E-4</v>
      </c>
      <c r="AM31" s="3">
        <f>1/(1+AK31+AL31)</f>
        <v>0.99756498433535135</v>
      </c>
      <c r="AN31" s="1">
        <f>-3*AL31*AL31+2*AG31*AL31+2*AK31-AH31</f>
        <v>8.8130588380835873E-6</v>
      </c>
      <c r="AO31" s="3">
        <f t="shared" si="54"/>
        <v>2.045323388968475E-3</v>
      </c>
      <c r="AP31" s="3">
        <f t="shared" si="15"/>
        <v>3.9079053449429921E-4</v>
      </c>
      <c r="AQ31" s="3">
        <f>1/(1+AO31+AP31)</f>
        <v>0.99756980630523373</v>
      </c>
      <c r="AR31" s="14">
        <f>-3*AP31*AP31+2*AG31*AP31+2*AO31-AH31</f>
        <v>2.0624358817999955E-10</v>
      </c>
      <c r="AS31" s="3">
        <f t="shared" si="55"/>
        <v>2.0453232859599904E-3</v>
      </c>
      <c r="AT31" s="3">
        <f>$D$9*AS31^$D$8</f>
        <v>3.9079052410254247E-4</v>
      </c>
      <c r="AU31" s="3">
        <f>1/(1+AS31+AT31)</f>
        <v>0.99756980641808346</v>
      </c>
      <c r="AV31" s="14">
        <f>-3*AT31*AT31+2*$AG31*AT31+2*AS31-$AH31</f>
        <v>4.7011006198971472E-15</v>
      </c>
      <c r="AW31" s="3">
        <f t="shared" si="56"/>
        <v>2.0453232859576425E-3</v>
      </c>
      <c r="AX31" s="3">
        <f>$D$9*AW31^$D$8</f>
        <v>3.9079052410230557E-4</v>
      </c>
      <c r="AY31" s="3">
        <f>1/(1+AW31+AX31)</f>
        <v>0.99756980641808612</v>
      </c>
      <c r="AZ31" s="36">
        <f>-3*AX31*AX31+2*$AG31*AX31+2*AW31-$AH31</f>
        <v>0</v>
      </c>
      <c r="BA31" s="108">
        <f>AG31-2*AX31</f>
        <v>1.106841565984E-2</v>
      </c>
      <c r="BB31" s="3">
        <f t="shared" si="25"/>
        <v>-10.005504348728378</v>
      </c>
      <c r="BC31" s="3">
        <f t="shared" si="26"/>
        <v>20.009617972093885</v>
      </c>
      <c r="BD31" s="3">
        <f>1000*(AX31/AX$19 -1)</f>
        <v>10.515670998294979</v>
      </c>
      <c r="BE31" s="14">
        <f>2*BA31*AW31+ 2*AX31*AW31+BA31*AX31*AX31</f>
        <v>4.6877252831035356E-5</v>
      </c>
      <c r="BF31" s="108">
        <f>(1+BB31/1000)*$D$7</f>
        <v>1.106841565984E-2</v>
      </c>
      <c r="BG31" s="3">
        <f>(1+BC31/1000)*$D$6</f>
        <v>2.0453232859576425E-3</v>
      </c>
      <c r="BH31" s="3">
        <f>$D$9*BG31^$D$8</f>
        <v>3.9079052410230557E-4</v>
      </c>
      <c r="BI31" s="3">
        <f>1/(1+BF31)</f>
        <v>0.9890527530200649</v>
      </c>
      <c r="BJ31" s="3">
        <f>1/(1+BG31+BH31)</f>
        <v>0.99756980641808612</v>
      </c>
      <c r="BK31" s="14">
        <v>1</v>
      </c>
      <c r="BL31" s="108">
        <f>BF31*BI31</f>
        <v>1.0947246979935151E-2</v>
      </c>
      <c r="BM31" s="3">
        <f t="shared" si="34"/>
        <v>-10.005504348728378</v>
      </c>
      <c r="BN31" s="14">
        <f>BG31*BJ31</f>
        <v>2.0403527544351693E-3</v>
      </c>
      <c r="BO31" s="108">
        <f t="shared" si="35"/>
        <v>20.009617972093885</v>
      </c>
      <c r="BP31" s="3">
        <f>BH31*BJ31</f>
        <v>3.8984082747875936E-4</v>
      </c>
      <c r="BQ31" s="1">
        <f t="shared" si="37"/>
        <v>10.515670998294979</v>
      </c>
      <c r="BR31" s="1">
        <f>BI31*BJ31*BJ31</f>
        <v>0.98425141490308488</v>
      </c>
      <c r="BS31" s="3">
        <f>BF31*BK31*BK31+2*BK31*BH31*BK31</f>
        <v>1.1849996708044611E-2</v>
      </c>
      <c r="BT31" s="3">
        <f>2*BG31*BK31*BK31+2*BF31*BH31*BK31+BK31*BH31*BH31</f>
        <v>4.0994501530623954E-3</v>
      </c>
      <c r="BU31" s="14">
        <f>2*BF31*BG31*BK31+2*BK31*BG31*BH31+BF31*BH31*BH31</f>
        <v>4.6877252831035356E-5</v>
      </c>
      <c r="BV31" s="3">
        <f>(BL31*BJ31*BJ31+2*BI31*BP31*BJ31)/BR31</f>
        <v>1.1849996708044611E-2</v>
      </c>
      <c r="BW31" s="3">
        <f>(2*BN31*BJ31*BI31+2*BL31*BP31*BJ31+BI31*BP31*BP31)/BR31</f>
        <v>4.0994501530623954E-3</v>
      </c>
      <c r="BX31" s="5">
        <f>(2*BL31*BN31*BJ31+2*BI31*BN31*BP31+BL31*BP31*BP31)/BR31</f>
        <v>4.6877252831035356E-5</v>
      </c>
      <c r="BY31" s="82">
        <f>1000*(AI31/BX31-1)</f>
        <v>-0.40730627072504966</v>
      </c>
      <c r="BZ31" s="8">
        <f>1000*(AI31/AI$19 -1)</f>
        <v>10.09215835791899</v>
      </c>
      <c r="CA31" s="13">
        <f>BM31</f>
        <v>-10.005504348728378</v>
      </c>
      <c r="CB31" s="13">
        <f>BO31</f>
        <v>20.009617972093885</v>
      </c>
      <c r="CC31" s="12">
        <f>BQ31</f>
        <v>10.515670998294979</v>
      </c>
      <c r="CD31" s="36">
        <f>1000*(AG31/BV31-1)</f>
        <v>0</v>
      </c>
      <c r="CE31" s="36">
        <f>1000*(AH31/BW31-1)</f>
        <v>0</v>
      </c>
      <c r="CF31" s="85">
        <f t="shared" si="57"/>
        <v>-1.6112577498894609E-3</v>
      </c>
      <c r="CG31" s="333">
        <f t="shared" si="58"/>
        <v>-4.6575512129276575E-3</v>
      </c>
      <c r="CH31" s="10"/>
      <c r="CI31" s="13"/>
    </row>
    <row r="32" spans="1:87" x14ac:dyDescent="0.25">
      <c r="B32">
        <f>'datapoints-plots'!D20</f>
        <v>-10</v>
      </c>
      <c r="C32" s="14">
        <f>'datapoints-plots'!E20</f>
        <v>10</v>
      </c>
      <c r="D32" s="3">
        <f t="shared" si="72"/>
        <v>1.1068477200000001E-2</v>
      </c>
      <c r="E32" s="3">
        <f t="shared" si="73"/>
        <v>2.025252E-3</v>
      </c>
      <c r="F32" s="36">
        <f t="shared" si="59"/>
        <v>3.8678328749353459E-4</v>
      </c>
      <c r="G32" s="3">
        <f t="shared" si="2"/>
        <v>0.98905269281992403</v>
      </c>
      <c r="H32" s="3">
        <f t="shared" si="3"/>
        <v>0.99759376862748694</v>
      </c>
      <c r="I32" s="1">
        <f t="shared" si="4"/>
        <v>1.0947307180075933E-2</v>
      </c>
      <c r="J32" s="14">
        <f t="shared" si="63"/>
        <v>-10.000000000000009</v>
      </c>
      <c r="K32" s="3">
        <f t="shared" si="5"/>
        <v>2.0203787751003552E-3</v>
      </c>
      <c r="L32" s="14">
        <f t="shared" si="64"/>
        <v>10.000000000000009</v>
      </c>
      <c r="M32" s="3">
        <f t="shared" si="74"/>
        <v>3.8585259741280391E-4</v>
      </c>
      <c r="N32" s="14">
        <f t="shared" si="6"/>
        <v>1</v>
      </c>
      <c r="O32" s="108">
        <f t="shared" si="7"/>
        <v>4.5672671807260849E-5</v>
      </c>
      <c r="P32" s="3">
        <f t="shared" si="75"/>
        <v>0.98429859508394102</v>
      </c>
      <c r="Q32" s="3">
        <f t="shared" si="60"/>
        <v>1.1656084341504227E-2</v>
      </c>
      <c r="R32" s="3">
        <f t="shared" si="61"/>
        <v>3.9954354242115629E-3</v>
      </c>
      <c r="S32" s="108">
        <f t="shared" si="62"/>
        <v>4.5695508143164477E-5</v>
      </c>
      <c r="T32" s="1">
        <f t="shared" si="76"/>
        <v>15748.777521343056</v>
      </c>
      <c r="U32" s="1">
        <f t="shared" si="77"/>
        <v>18649.734946406759</v>
      </c>
      <c r="V32" s="1">
        <f t="shared" si="78"/>
        <v>21308.988716038446</v>
      </c>
      <c r="W32" s="1">
        <f t="shared" si="79"/>
        <v>2437.093743264501</v>
      </c>
      <c r="X32" s="1">
        <f t="shared" si="65"/>
        <v>1.1842020703595735</v>
      </c>
      <c r="Y32">
        <f t="shared" si="8"/>
        <v>1.3530566856481452</v>
      </c>
      <c r="Z32" s="11">
        <f t="shared" si="9"/>
        <v>0.15474812187559975</v>
      </c>
      <c r="AA32" s="17">
        <f t="shared" si="66"/>
        <v>0.99098467694119352</v>
      </c>
      <c r="AB32" s="17">
        <f t="shared" si="10"/>
        <v>1.009977664139456</v>
      </c>
      <c r="AC32" s="17">
        <f t="shared" si="10"/>
        <v>1.0000131758984174</v>
      </c>
      <c r="AD32" s="19"/>
      <c r="AE32" s="19"/>
      <c r="AF32" s="19"/>
      <c r="AG32" s="18">
        <f t="shared" si="80"/>
        <v>1.1845961009169299E-2</v>
      </c>
      <c r="AH32" s="18">
        <f t="shared" si="67"/>
        <v>4.0592991144457261E-3</v>
      </c>
      <c r="AI32" s="18">
        <f t="shared" si="67"/>
        <v>4.6390595593305796E-5</v>
      </c>
      <c r="AJ32" s="3">
        <f t="shared" si="11"/>
        <v>10</v>
      </c>
      <c r="AK32" s="3">
        <f t="shared" si="53"/>
        <v>2.029649557222863E-3</v>
      </c>
      <c r="AL32" s="3">
        <f t="shared" si="12"/>
        <v>3.8920644818513567E-4</v>
      </c>
      <c r="AM32" s="3">
        <f t="shared" si="13"/>
        <v>0.99758698074071839</v>
      </c>
      <c r="AN32" s="1">
        <f t="shared" si="14"/>
        <v>8.7666038415101094E-6</v>
      </c>
      <c r="AO32" s="3">
        <f t="shared" si="54"/>
        <v>2.0252710716362533E-3</v>
      </c>
      <c r="AP32" s="3">
        <f t="shared" si="15"/>
        <v>3.8876290276556935E-4</v>
      </c>
      <c r="AQ32" s="3">
        <f t="shared" si="16"/>
        <v>0.99759177955157874</v>
      </c>
      <c r="AR32" s="14">
        <f t="shared" si="17"/>
        <v>1.5941902485605564E-10</v>
      </c>
      <c r="AS32" s="3">
        <f t="shared" si="55"/>
        <v>2.0252709920143249E-3</v>
      </c>
      <c r="AT32" s="3">
        <f t="shared" si="18"/>
        <v>3.8876289469566696E-4</v>
      </c>
      <c r="AU32" s="3">
        <f t="shared" si="19"/>
        <v>0.99759177963884849</v>
      </c>
      <c r="AV32" s="14">
        <f t="shared" si="20"/>
        <v>2.8007110519645551E-15</v>
      </c>
      <c r="AW32" s="3">
        <f t="shared" si="56"/>
        <v>2.0252709920129263E-3</v>
      </c>
      <c r="AX32" s="3">
        <f t="shared" si="21"/>
        <v>3.8876289469552526E-4</v>
      </c>
      <c r="AY32" s="3">
        <f t="shared" si="22"/>
        <v>0.99759177963885004</v>
      </c>
      <c r="AZ32">
        <f t="shared" si="23"/>
        <v>0</v>
      </c>
      <c r="BA32" s="108">
        <f t="shared" si="24"/>
        <v>1.1068435219778249E-2</v>
      </c>
      <c r="BB32" s="3">
        <f t="shared" si="25"/>
        <v>-10.003754845294699</v>
      </c>
      <c r="BC32" s="3">
        <f t="shared" si="26"/>
        <v>10.009471380872936</v>
      </c>
      <c r="BD32" s="3">
        <f t="shared" si="70"/>
        <v>5.272577411941537</v>
      </c>
      <c r="BE32" s="14">
        <f t="shared" si="27"/>
        <v>4.6409534827514709E-5</v>
      </c>
      <c r="BF32" s="108">
        <f t="shared" si="28"/>
        <v>1.1068435219778249E-2</v>
      </c>
      <c r="BG32" s="3">
        <f t="shared" si="29"/>
        <v>2.0252709920129263E-3</v>
      </c>
      <c r="BH32" s="3">
        <f t="shared" si="30"/>
        <v>3.8876289469552526E-4</v>
      </c>
      <c r="BI32" s="3">
        <f t="shared" si="31"/>
        <v>0.98905273388603776</v>
      </c>
      <c r="BJ32" s="3">
        <f t="shared" si="32"/>
        <v>0.99759177963885004</v>
      </c>
      <c r="BK32" s="14">
        <v>1</v>
      </c>
      <c r="BL32" s="108">
        <f t="shared" si="33"/>
        <v>1.0947266113962184E-2</v>
      </c>
      <c r="BM32" s="3">
        <f t="shared" si="34"/>
        <v>-10.003754845294699</v>
      </c>
      <c r="BN32" s="14">
        <f t="shared" si="71"/>
        <v>2.0203936931731145E-3</v>
      </c>
      <c r="BO32" s="108">
        <f t="shared" si="35"/>
        <v>10.009471380872936</v>
      </c>
      <c r="BP32" s="3">
        <f t="shared" si="36"/>
        <v>3.8782666797685988E-4</v>
      </c>
      <c r="BQ32" s="1">
        <f t="shared" si="37"/>
        <v>5.272577411941537</v>
      </c>
      <c r="BR32" s="1">
        <f t="shared" si="38"/>
        <v>0.98429475605840788</v>
      </c>
      <c r="BS32" s="3">
        <f t="shared" si="39"/>
        <v>1.1845961009169299E-2</v>
      </c>
      <c r="BT32" s="3">
        <f t="shared" si="40"/>
        <v>4.0592991144457269E-3</v>
      </c>
      <c r="BU32" s="14">
        <f t="shared" si="41"/>
        <v>4.6409534827514709E-5</v>
      </c>
      <c r="BV32" s="3">
        <f t="shared" si="42"/>
        <v>1.1845961009169299E-2</v>
      </c>
      <c r="BW32" s="3">
        <f t="shared" si="43"/>
        <v>4.0592991144457278E-3</v>
      </c>
      <c r="BX32" s="5">
        <f t="shared" si="44"/>
        <v>4.6409534827514709E-5</v>
      </c>
      <c r="BY32" s="82">
        <f t="shared" si="45"/>
        <v>-0.40808929198066224</v>
      </c>
      <c r="BZ32" s="8">
        <f t="shared" si="46"/>
        <v>1.3175898417427945E-2</v>
      </c>
      <c r="CA32" s="13">
        <f t="shared" si="47"/>
        <v>-10.003754845294699</v>
      </c>
      <c r="CB32" s="13">
        <f t="shared" si="48"/>
        <v>10.009471380872936</v>
      </c>
      <c r="CC32" s="12">
        <f t="shared" si="49"/>
        <v>5.272577411941537</v>
      </c>
      <c r="CD32">
        <f t="shared" si="50"/>
        <v>0</v>
      </c>
      <c r="CE32">
        <f t="shared" si="51"/>
        <v>-4.4408920985006262E-13</v>
      </c>
      <c r="CF32" s="85">
        <f t="shared" si="57"/>
        <v>-1.5987925500171585E-3</v>
      </c>
      <c r="CG32" s="333">
        <f t="shared" si="58"/>
        <v>-4.6656414509627098E-3</v>
      </c>
      <c r="CH32" s="10"/>
      <c r="CI32" s="13"/>
    </row>
    <row r="33" spans="2:87" x14ac:dyDescent="0.25">
      <c r="B33">
        <f>'datapoints-plots'!D21</f>
        <v>-10</v>
      </c>
      <c r="C33" s="14">
        <f>'datapoints-plots'!E21</f>
        <v>0</v>
      </c>
      <c r="D33" s="3">
        <f t="shared" si="72"/>
        <v>1.1068477200000001E-2</v>
      </c>
      <c r="E33" s="3">
        <f t="shared" si="73"/>
        <v>2.0052E-3</v>
      </c>
      <c r="F33" s="36">
        <f t="shared" si="59"/>
        <v>3.8475654393587772E-4</v>
      </c>
      <c r="G33" s="3">
        <f t="shared" si="2"/>
        <v>0.98905269281992403</v>
      </c>
      <c r="H33" s="3">
        <f t="shared" si="3"/>
        <v>0.99761574172971967</v>
      </c>
      <c r="I33" s="1">
        <f t="shared" si="4"/>
        <v>1.0947307180075933E-2</v>
      </c>
      <c r="J33" s="14">
        <f t="shared" si="63"/>
        <v>-10.000000000000009</v>
      </c>
      <c r="K33" s="3">
        <f t="shared" si="5"/>
        <v>2.0004190853164338E-3</v>
      </c>
      <c r="L33" s="14">
        <f t="shared" si="64"/>
        <v>0</v>
      </c>
      <c r="M33" s="3">
        <f t="shared" si="74"/>
        <v>3.8383918496395411E-4</v>
      </c>
      <c r="N33" s="14">
        <f t="shared" si="6"/>
        <v>1</v>
      </c>
      <c r="O33" s="108">
        <f t="shared" si="7"/>
        <v>4.5214457536781443E-5</v>
      </c>
      <c r="P33" s="3">
        <f t="shared" si="75"/>
        <v>0.98434195653734768</v>
      </c>
      <c r="Q33" s="3">
        <f t="shared" si="60"/>
        <v>1.1652608039045574E-2</v>
      </c>
      <c r="R33" s="3">
        <f t="shared" si="61"/>
        <v>3.9560901348183047E-3</v>
      </c>
      <c r="S33" s="108">
        <f t="shared" si="62"/>
        <v>4.523706476554983E-5</v>
      </c>
      <c r="T33" s="1">
        <f t="shared" si="76"/>
        <v>15749.471304597562</v>
      </c>
      <c r="U33" s="1">
        <f t="shared" si="77"/>
        <v>18644.172862472918</v>
      </c>
      <c r="V33" s="1">
        <f t="shared" si="78"/>
        <v>21099.147174706151</v>
      </c>
      <c r="W33" s="1">
        <f t="shared" si="79"/>
        <v>2412.643430036223</v>
      </c>
      <c r="X33" s="1">
        <f t="shared" si="65"/>
        <v>1.1837967447853528</v>
      </c>
      <c r="Y33">
        <f t="shared" si="8"/>
        <v>1.3396733621494279</v>
      </c>
      <c r="Z33" s="11">
        <f t="shared" si="9"/>
        <v>0.15318885208114433</v>
      </c>
      <c r="AA33" s="17">
        <f t="shared" si="66"/>
        <v>0.99064548530888774</v>
      </c>
      <c r="AB33" s="17">
        <f t="shared" si="10"/>
        <v>0.99998779605112653</v>
      </c>
      <c r="AC33" s="17">
        <f t="shared" si="10"/>
        <v>0.98993686401600678</v>
      </c>
      <c r="AD33" s="19"/>
      <c r="AE33" s="19"/>
      <c r="AF33" s="19"/>
      <c r="AG33" s="18">
        <f t="shared" si="80"/>
        <v>1.184190640474965E-2</v>
      </c>
      <c r="AH33" s="18">
        <f t="shared" si="67"/>
        <v>4.0191478674189542E-3</v>
      </c>
      <c r="AI33" s="18">
        <f t="shared" si="67"/>
        <v>4.5923155642638169E-5</v>
      </c>
      <c r="AJ33" s="3">
        <f t="shared" si="11"/>
        <v>0</v>
      </c>
      <c r="AK33" s="3">
        <f t="shared" si="53"/>
        <v>2.0095739337094771E-3</v>
      </c>
      <c r="AL33" s="3">
        <f t="shared" si="12"/>
        <v>3.8716903331087628E-4</v>
      </c>
      <c r="AM33" s="3">
        <f t="shared" si="13"/>
        <v>0.99760898767495387</v>
      </c>
      <c r="AN33" s="1">
        <f t="shared" si="14"/>
        <v>8.7199393295047181E-6</v>
      </c>
      <c r="AO33" s="3">
        <f t="shared" si="54"/>
        <v>2.0052187547415896E-3</v>
      </c>
      <c r="AP33" s="3">
        <f t="shared" si="15"/>
        <v>3.8672577298732756E-4</v>
      </c>
      <c r="AQ33" s="3">
        <f t="shared" si="16"/>
        <v>0.99761376321828299</v>
      </c>
      <c r="AR33" s="14">
        <f t="shared" si="17"/>
        <v>1.1240978807502966E-10</v>
      </c>
      <c r="AS33" s="3">
        <f t="shared" si="55"/>
        <v>2.005218698598453E-3</v>
      </c>
      <c r="AT33" s="3">
        <f t="shared" si="18"/>
        <v>3.8672576727027806E-4</v>
      </c>
      <c r="AU33" s="3">
        <f t="shared" si="19"/>
        <v>0.99761376327984841</v>
      </c>
      <c r="AV33" s="14">
        <f t="shared" si="20"/>
        <v>1.3782378016635732E-15</v>
      </c>
      <c r="AW33" s="3">
        <f t="shared" si="56"/>
        <v>2.0052186985977647E-3</v>
      </c>
      <c r="AX33" s="3">
        <f t="shared" si="21"/>
        <v>3.8672576727020812E-4</v>
      </c>
      <c r="AY33" s="3">
        <f t="shared" si="22"/>
        <v>0.99761376327984908</v>
      </c>
      <c r="AZ33">
        <f t="shared" si="23"/>
        <v>0</v>
      </c>
      <c r="BA33" s="108">
        <f t="shared" si="24"/>
        <v>1.1068454870209233E-2</v>
      </c>
      <c r="BB33" s="3">
        <f t="shared" si="25"/>
        <v>-10.001997247901517</v>
      </c>
      <c r="BC33" s="3">
        <f t="shared" si="26"/>
        <v>9.3250537427369551E-3</v>
      </c>
      <c r="BD33" s="3">
        <f t="shared" si="70"/>
        <v>4.9236175407862959E-3</v>
      </c>
      <c r="BE33" s="14">
        <f t="shared" si="27"/>
        <v>4.5941940183080097E-5</v>
      </c>
      <c r="BF33" s="108">
        <f t="shared" si="28"/>
        <v>1.1068454870209233E-2</v>
      </c>
      <c r="BG33" s="3">
        <f t="shared" si="29"/>
        <v>2.0052186985977647E-3</v>
      </c>
      <c r="BH33" s="3">
        <f t="shared" si="30"/>
        <v>3.8672576727020812E-4</v>
      </c>
      <c r="BI33" s="3">
        <f t="shared" si="31"/>
        <v>0.98905271466348932</v>
      </c>
      <c r="BJ33" s="3">
        <f t="shared" si="32"/>
        <v>0.99761376327984908</v>
      </c>
      <c r="BK33" s="14">
        <v>1</v>
      </c>
      <c r="BL33" s="108">
        <f t="shared" si="33"/>
        <v>1.0947285336510761E-2</v>
      </c>
      <c r="BM33" s="3">
        <f t="shared" si="34"/>
        <v>-10.001997247901517</v>
      </c>
      <c r="BN33" s="14">
        <f t="shared" si="71"/>
        <v>2.0004337721072373E-3</v>
      </c>
      <c r="BO33" s="108">
        <f t="shared" si="35"/>
        <v>9.3250537427369551E-3</v>
      </c>
      <c r="BP33" s="3">
        <f t="shared" si="36"/>
        <v>3.8580294804371941E-4</v>
      </c>
      <c r="BQ33" s="1">
        <f t="shared" si="37"/>
        <v>4.9236175407862959E-3</v>
      </c>
      <c r="BR33" s="1">
        <f t="shared" si="38"/>
        <v>0.98433811864216536</v>
      </c>
      <c r="BS33" s="3">
        <f t="shared" si="39"/>
        <v>1.184190640474965E-2</v>
      </c>
      <c r="BT33" s="3">
        <f t="shared" si="40"/>
        <v>4.0191478674189551E-3</v>
      </c>
      <c r="BU33" s="14">
        <f t="shared" si="41"/>
        <v>4.5941940183080097E-5</v>
      </c>
      <c r="BV33" s="3">
        <f t="shared" si="42"/>
        <v>1.1841906404749648E-2</v>
      </c>
      <c r="BW33" s="3">
        <f t="shared" si="43"/>
        <v>4.0191478674189559E-3</v>
      </c>
      <c r="BX33" s="5">
        <f t="shared" si="44"/>
        <v>4.5941940183080091E-5</v>
      </c>
      <c r="BY33" s="82">
        <f t="shared" si="45"/>
        <v>-0.40887564537028798</v>
      </c>
      <c r="BZ33" s="8">
        <f t="shared" si="46"/>
        <v>-10.06313598399322</v>
      </c>
      <c r="CA33" s="13">
        <f t="shared" si="47"/>
        <v>-10.001997247901517</v>
      </c>
      <c r="CB33" s="13">
        <f t="shared" si="48"/>
        <v>9.3250537427369551E-3</v>
      </c>
      <c r="CC33" s="12">
        <f t="shared" si="49"/>
        <v>4.9236175407862959E-3</v>
      </c>
      <c r="CD33">
        <f t="shared" si="50"/>
        <v>2.2204460492503131E-13</v>
      </c>
      <c r="CE33">
        <f t="shared" si="51"/>
        <v>-4.4408920985006262E-13</v>
      </c>
      <c r="CF33" s="85">
        <f t="shared" si="57"/>
        <v>-1.5862767192009741E-3</v>
      </c>
      <c r="CG33" s="333">
        <f t="shared" si="58"/>
        <v>-4.6737619673331565E-3</v>
      </c>
      <c r="CH33" s="10"/>
      <c r="CI33" s="13"/>
    </row>
    <row r="34" spans="2:87" x14ac:dyDescent="0.25">
      <c r="B34">
        <f>'datapoints-plots'!D22</f>
        <v>-20</v>
      </c>
      <c r="C34" s="14">
        <f>'datapoints-plots'!E22</f>
        <v>50</v>
      </c>
      <c r="D34" s="3">
        <f t="shared" si="72"/>
        <v>1.09566744E-2</v>
      </c>
      <c r="E34" s="3">
        <f t="shared" si="73"/>
        <v>2.10546E-3</v>
      </c>
      <c r="F34" s="36">
        <f t="shared" si="59"/>
        <v>3.9479711006544413E-4</v>
      </c>
      <c r="G34" s="3">
        <f t="shared" si="2"/>
        <v>0.98916207323473804</v>
      </c>
      <c r="H34" s="3">
        <f t="shared" si="3"/>
        <v>0.9975059785847108</v>
      </c>
      <c r="I34" s="1">
        <f t="shared" si="4"/>
        <v>1.083792676526198E-2</v>
      </c>
      <c r="J34" s="14">
        <f t="shared" si="63"/>
        <v>-20.000000000000128</v>
      </c>
      <c r="K34" s="3">
        <f t="shared" si="5"/>
        <v>2.1002089376709653E-3</v>
      </c>
      <c r="L34" s="14">
        <f t="shared" si="64"/>
        <v>50.000000000000043</v>
      </c>
      <c r="M34" s="3">
        <f t="shared" si="74"/>
        <v>3.9381247761824661E-4</v>
      </c>
      <c r="N34" s="14">
        <f t="shared" si="6"/>
        <v>1</v>
      </c>
      <c r="O34" s="108">
        <f t="shared" si="7"/>
        <v>4.7048213888126849E-5</v>
      </c>
      <c r="P34" s="3">
        <f t="shared" si="75"/>
        <v>0.98423419675418622</v>
      </c>
      <c r="Q34" s="3">
        <f t="shared" si="60"/>
        <v>1.1561055871607884E-2</v>
      </c>
      <c r="R34" s="3">
        <f t="shared" si="61"/>
        <v>4.1531534601095335E-3</v>
      </c>
      <c r="S34" s="108">
        <f t="shared" si="62"/>
        <v>4.7071737995070908E-5</v>
      </c>
      <c r="T34" s="1">
        <f t="shared" si="76"/>
        <v>15747.747148066979</v>
      </c>
      <c r="U34" s="1">
        <f t="shared" si="77"/>
        <v>18497.689394572615</v>
      </c>
      <c r="V34" s="1">
        <f t="shared" si="78"/>
        <v>22150.151565749326</v>
      </c>
      <c r="W34" s="1">
        <f t="shared" si="79"/>
        <v>2510.4926679655214</v>
      </c>
      <c r="X34" s="1">
        <f t="shared" si="65"/>
        <v>1.1746244856898904</v>
      </c>
      <c r="Y34">
        <f t="shared" si="8"/>
        <v>1.4065600214103156</v>
      </c>
      <c r="Z34" s="11">
        <f t="shared" si="9"/>
        <v>0.15941916290379871</v>
      </c>
      <c r="AA34" s="17">
        <f t="shared" si="66"/>
        <v>0.98296979511711358</v>
      </c>
      <c r="AB34" s="17">
        <f t="shared" si="10"/>
        <v>1.0499147744245736</v>
      </c>
      <c r="AC34" s="17">
        <f t="shared" si="10"/>
        <v>1.0301983730868918</v>
      </c>
      <c r="AD34" s="19"/>
      <c r="AE34" s="19"/>
      <c r="AF34" s="19"/>
      <c r="AG34" s="18">
        <f t="shared" si="80"/>
        <v>1.1750153294085139E-2</v>
      </c>
      <c r="AH34" s="18">
        <f t="shared" si="67"/>
        <v>4.2198142249972349E-3</v>
      </c>
      <c r="AI34" s="18">
        <f t="shared" si="67"/>
        <v>4.7790886418890825E-5</v>
      </c>
      <c r="AJ34" s="3">
        <f t="shared" si="11"/>
        <v>50</v>
      </c>
      <c r="AK34" s="3">
        <f t="shared" si="53"/>
        <v>2.1099071124986175E-3</v>
      </c>
      <c r="AL34" s="3">
        <f t="shared" si="12"/>
        <v>3.9725808936797396E-4</v>
      </c>
      <c r="AM34" s="3">
        <f t="shared" si="13"/>
        <v>0.99749910495516325</v>
      </c>
      <c r="AN34" s="1">
        <f t="shared" si="14"/>
        <v>8.8622449260734523E-6</v>
      </c>
      <c r="AO34" s="3">
        <f t="shared" si="54"/>
        <v>2.1054808589145231E-3</v>
      </c>
      <c r="AP34" s="3">
        <f t="shared" si="15"/>
        <v>3.96817843984158E-4</v>
      </c>
      <c r="AQ34" s="3">
        <f t="shared" si="16"/>
        <v>0.99750394716686808</v>
      </c>
      <c r="AR34" s="14">
        <f t="shared" si="17"/>
        <v>4.4062118276927409E-10</v>
      </c>
      <c r="AS34" s="3">
        <f t="shared" si="55"/>
        <v>2.1054806388460072E-3</v>
      </c>
      <c r="AT34" s="3">
        <f t="shared" si="18"/>
        <v>3.9681782208478202E-4</v>
      </c>
      <c r="AU34" s="3">
        <f t="shared" si="19"/>
        <v>0.99750394740762938</v>
      </c>
      <c r="AV34" s="14">
        <f t="shared" si="20"/>
        <v>2.1649348980190553E-14</v>
      </c>
      <c r="AW34" s="3">
        <f t="shared" si="56"/>
        <v>2.1054806388351942E-3</v>
      </c>
      <c r="AX34" s="3">
        <f t="shared" si="21"/>
        <v>3.9681782208370579E-4</v>
      </c>
      <c r="AY34" s="3">
        <f t="shared" si="22"/>
        <v>0.99750394740764137</v>
      </c>
      <c r="AZ34">
        <f t="shared" si="23"/>
        <v>0</v>
      </c>
      <c r="BA34" s="108">
        <f t="shared" si="24"/>
        <v>1.0956517649917728E-2</v>
      </c>
      <c r="BB34" s="3">
        <f t="shared" si="25"/>
        <v>-20.014020228677044</v>
      </c>
      <c r="BC34" s="3">
        <f t="shared" si="26"/>
        <v>50.010292656689657</v>
      </c>
      <c r="BD34" s="3">
        <f t="shared" si="70"/>
        <v>26.101205161315868</v>
      </c>
      <c r="BE34" s="14">
        <f t="shared" si="27"/>
        <v>4.7810181306301391E-5</v>
      </c>
      <c r="BF34" s="108">
        <f t="shared" si="28"/>
        <v>1.0956517649917728E-2</v>
      </c>
      <c r="BG34" s="3">
        <f t="shared" si="29"/>
        <v>2.1054806388351942E-3</v>
      </c>
      <c r="BH34" s="3">
        <f t="shared" si="30"/>
        <v>3.9681782208370579E-4</v>
      </c>
      <c r="BI34" s="3">
        <f t="shared" si="31"/>
        <v>0.98916222660556419</v>
      </c>
      <c r="BJ34" s="3">
        <f t="shared" si="32"/>
        <v>0.99750394740764137</v>
      </c>
      <c r="BK34" s="14">
        <v>1</v>
      </c>
      <c r="BL34" s="108">
        <f t="shared" si="33"/>
        <v>1.0837773394435783E-2</v>
      </c>
      <c r="BM34" s="3">
        <f t="shared" si="34"/>
        <v>-20.014020228677044</v>
      </c>
      <c r="BN34" s="14">
        <f t="shared" si="71"/>
        <v>2.1002252484284686E-3</v>
      </c>
      <c r="BO34" s="108">
        <f t="shared" si="35"/>
        <v>50.010292656689657</v>
      </c>
      <c r="BP34" s="3">
        <f t="shared" si="36"/>
        <v>3.9582734393019966E-4</v>
      </c>
      <c r="BQ34" s="1">
        <f t="shared" si="37"/>
        <v>26.101205161315868</v>
      </c>
      <c r="BR34" s="1">
        <f t="shared" si="38"/>
        <v>0.98423038748179692</v>
      </c>
      <c r="BS34" s="3">
        <f t="shared" si="39"/>
        <v>1.1750153294085139E-2</v>
      </c>
      <c r="BT34" s="3">
        <f t="shared" si="40"/>
        <v>4.2198142249972358E-3</v>
      </c>
      <c r="BU34" s="14">
        <f t="shared" si="41"/>
        <v>4.7810181306301391E-5</v>
      </c>
      <c r="BV34" s="3">
        <f t="shared" si="42"/>
        <v>1.1750153294085139E-2</v>
      </c>
      <c r="BW34" s="3">
        <f t="shared" si="43"/>
        <v>4.2198142249972358E-3</v>
      </c>
      <c r="BX34" s="5">
        <f t="shared" si="44"/>
        <v>4.7810181306301378E-5</v>
      </c>
      <c r="BY34" s="82">
        <f t="shared" si="45"/>
        <v>-0.40357277222891064</v>
      </c>
      <c r="BZ34" s="8">
        <f t="shared" si="46"/>
        <v>30.19837308689177</v>
      </c>
      <c r="CA34" s="13">
        <f t="shared" si="47"/>
        <v>-20.014020228677044</v>
      </c>
      <c r="CB34" s="13">
        <f t="shared" si="48"/>
        <v>50.010292656689657</v>
      </c>
      <c r="CC34" s="12">
        <f t="shared" si="49"/>
        <v>26.101205161315868</v>
      </c>
      <c r="CD34">
        <f t="shared" si="50"/>
        <v>0</v>
      </c>
      <c r="CE34">
        <f t="shared" si="51"/>
        <v>-2.2204460492503131E-13</v>
      </c>
      <c r="CF34" s="85">
        <f t="shared" si="57"/>
        <v>-1.642096654208558E-3</v>
      </c>
      <c r="CG34" s="333">
        <f t="shared" si="58"/>
        <v>-4.5724494925902803E-3</v>
      </c>
      <c r="CH34" s="10"/>
      <c r="CI34" s="13"/>
    </row>
    <row r="35" spans="2:87" x14ac:dyDescent="0.25">
      <c r="B35">
        <f>'datapoints-plots'!D23</f>
        <v>-20</v>
      </c>
      <c r="C35" s="14">
        <f>'datapoints-plots'!E23</f>
        <v>40</v>
      </c>
      <c r="D35" s="3">
        <f t="shared" si="72"/>
        <v>1.09566744E-2</v>
      </c>
      <c r="E35" s="3">
        <f t="shared" si="73"/>
        <v>2.085408E-3</v>
      </c>
      <c r="F35" s="36">
        <f t="shared" si="59"/>
        <v>3.9280736150210311E-4</v>
      </c>
      <c r="G35" s="3">
        <f t="shared" si="2"/>
        <v>0.98916207323473804</v>
      </c>
      <c r="H35" s="3">
        <f t="shared" si="3"/>
        <v>0.99752791100741445</v>
      </c>
      <c r="I35" s="1">
        <f t="shared" si="4"/>
        <v>1.083792676526198E-2</v>
      </c>
      <c r="J35" s="14">
        <f t="shared" si="63"/>
        <v>-20.000000000000128</v>
      </c>
      <c r="K35" s="3">
        <f t="shared" si="5"/>
        <v>2.08025268583815E-3</v>
      </c>
      <c r="L35" s="14">
        <f t="shared" si="64"/>
        <v>40.000000000000036</v>
      </c>
      <c r="M35" s="3">
        <f t="shared" si="74"/>
        <v>3.9183630674752718E-4</v>
      </c>
      <c r="N35" s="14">
        <f t="shared" si="6"/>
        <v>1</v>
      </c>
      <c r="O35" s="108">
        <f t="shared" si="7"/>
        <v>4.6594015613441585E-5</v>
      </c>
      <c r="P35" s="3">
        <f t="shared" si="75"/>
        <v>0.98427747890437767</v>
      </c>
      <c r="Q35" s="3">
        <f t="shared" si="60"/>
        <v>1.1557647570651686E-2</v>
      </c>
      <c r="R35" s="3">
        <f t="shared" si="61"/>
        <v>4.1138186214937852E-3</v>
      </c>
      <c r="S35" s="108">
        <f t="shared" si="62"/>
        <v>4.6617312621248303E-5</v>
      </c>
      <c r="T35" s="1">
        <f t="shared" si="76"/>
        <v>15748.439662470042</v>
      </c>
      <c r="U35" s="1">
        <f t="shared" si="77"/>
        <v>18492.236113042698</v>
      </c>
      <c r="V35" s="1">
        <f t="shared" si="78"/>
        <v>21940.36576189653</v>
      </c>
      <c r="W35" s="1">
        <f t="shared" si="79"/>
        <v>2486.2566482706761</v>
      </c>
      <c r="X35" s="1">
        <f t="shared" si="65"/>
        <v>1.17422655890865</v>
      </c>
      <c r="Y35">
        <f t="shared" si="8"/>
        <v>1.393177116726199</v>
      </c>
      <c r="Z35" s="11">
        <f t="shared" si="9"/>
        <v>0.15787320531796245</v>
      </c>
      <c r="AA35" s="17">
        <f t="shared" si="66"/>
        <v>0.98263679507208401</v>
      </c>
      <c r="AB35" s="17">
        <f t="shared" si="10"/>
        <v>1.0399252189568438</v>
      </c>
      <c r="AC35" s="17">
        <f t="shared" si="10"/>
        <v>1.0202080873472099</v>
      </c>
      <c r="AD35" s="19"/>
      <c r="AE35" s="19"/>
      <c r="AF35" s="19"/>
      <c r="AG35" s="18">
        <f t="shared" si="80"/>
        <v>1.1746172702213984E-2</v>
      </c>
      <c r="AH35" s="18">
        <f t="shared" si="67"/>
        <v>4.1796642344542135E-3</v>
      </c>
      <c r="AI35" s="18">
        <f t="shared" si="67"/>
        <v>4.7327437219639246E-5</v>
      </c>
      <c r="AJ35" s="3">
        <f t="shared" si="11"/>
        <v>40</v>
      </c>
      <c r="AK35" s="3">
        <f t="shared" si="53"/>
        <v>2.0898321172271067E-3</v>
      </c>
      <c r="AL35" s="3">
        <f t="shared" si="12"/>
        <v>3.9525787081222229E-4</v>
      </c>
      <c r="AM35" s="3">
        <f t="shared" si="13"/>
        <v>0.99752107037515247</v>
      </c>
      <c r="AN35" s="1">
        <f t="shared" si="14"/>
        <v>8.8168480716225087E-6</v>
      </c>
      <c r="AO35" s="3">
        <f t="shared" si="54"/>
        <v>2.0854285371294029E-3</v>
      </c>
      <c r="AP35" s="3">
        <f t="shared" si="15"/>
        <v>3.9481789876142769E-4</v>
      </c>
      <c r="AQ35" s="3">
        <f t="shared" si="16"/>
        <v>0.99752588996670122</v>
      </c>
      <c r="AR35" s="14">
        <f t="shared" si="17"/>
        <v>3.9473459917394038E-10</v>
      </c>
      <c r="AS35" s="3">
        <f t="shared" si="55"/>
        <v>2.0854283399789689E-3</v>
      </c>
      <c r="AT35" s="3">
        <f t="shared" si="18"/>
        <v>3.9481787905385266E-4</v>
      </c>
      <c r="AU35" s="3">
        <f t="shared" si="19"/>
        <v>0.99752589018248761</v>
      </c>
      <c r="AV35" s="14">
        <f t="shared" si="20"/>
        <v>1.7439175103994842E-14</v>
      </c>
      <c r="AW35" s="3">
        <f t="shared" si="56"/>
        <v>2.0854283399702588E-3</v>
      </c>
      <c r="AX35" s="3">
        <f t="shared" si="21"/>
        <v>3.9481787905298199E-4</v>
      </c>
      <c r="AY35" s="3">
        <f t="shared" si="22"/>
        <v>0.99752589018249715</v>
      </c>
      <c r="AZ35">
        <f t="shared" si="23"/>
        <v>0</v>
      </c>
      <c r="BA35" s="108">
        <f t="shared" si="24"/>
        <v>1.095653694410802E-2</v>
      </c>
      <c r="BB35" s="3">
        <f t="shared" si="25"/>
        <v>-20.01229449459052</v>
      </c>
      <c r="BC35" s="3">
        <f t="shared" si="26"/>
        <v>40.010143611738826</v>
      </c>
      <c r="BD35" s="3">
        <f t="shared" si="70"/>
        <v>20.929703681609624</v>
      </c>
      <c r="BE35" s="14">
        <f t="shared" si="27"/>
        <v>4.7346582008218431E-5</v>
      </c>
      <c r="BF35" s="108">
        <f t="shared" si="28"/>
        <v>1.095653694410802E-2</v>
      </c>
      <c r="BG35" s="3">
        <f t="shared" si="29"/>
        <v>2.0854283399702588E-3</v>
      </c>
      <c r="BH35" s="3">
        <f t="shared" si="30"/>
        <v>3.9481787905298199E-4</v>
      </c>
      <c r="BI35" s="3">
        <f t="shared" si="31"/>
        <v>0.98916220772732011</v>
      </c>
      <c r="BJ35" s="3">
        <f t="shared" si="32"/>
        <v>0.99752589018249715</v>
      </c>
      <c r="BK35" s="14">
        <v>1</v>
      </c>
      <c r="BL35" s="108">
        <f t="shared" si="33"/>
        <v>1.0837792272679834E-2</v>
      </c>
      <c r="BM35" s="3">
        <f t="shared" si="34"/>
        <v>-20.01229449459052</v>
      </c>
      <c r="BN35" s="14">
        <f t="shared" si="71"/>
        <v>2.0802687612406397E-3</v>
      </c>
      <c r="BO35" s="108">
        <f t="shared" si="35"/>
        <v>40.010143611738826</v>
      </c>
      <c r="BP35" s="3">
        <f t="shared" si="36"/>
        <v>3.9384105626229135E-4</v>
      </c>
      <c r="BQ35" s="1">
        <f t="shared" si="37"/>
        <v>20.929703681609624</v>
      </c>
      <c r="BR35" s="1">
        <f t="shared" si="38"/>
        <v>0.9842736707477231</v>
      </c>
      <c r="BS35" s="3">
        <f t="shared" si="39"/>
        <v>1.1746172702213984E-2</v>
      </c>
      <c r="BT35" s="3">
        <f t="shared" si="40"/>
        <v>4.1796642344542143E-3</v>
      </c>
      <c r="BU35" s="14">
        <f t="shared" si="41"/>
        <v>4.7346582008218431E-5</v>
      </c>
      <c r="BV35" s="3">
        <f t="shared" si="42"/>
        <v>1.1746172702213984E-2</v>
      </c>
      <c r="BW35" s="3">
        <f t="shared" si="43"/>
        <v>4.1796642344542135E-3</v>
      </c>
      <c r="BX35" s="5">
        <f t="shared" si="44"/>
        <v>4.7346582008218438E-5</v>
      </c>
      <c r="BY35" s="82">
        <f t="shared" si="45"/>
        <v>-0.40435418497297704</v>
      </c>
      <c r="BZ35" s="8">
        <f t="shared" si="46"/>
        <v>20.208087347209911</v>
      </c>
      <c r="CA35" s="13">
        <f t="shared" si="47"/>
        <v>-20.01229449459052</v>
      </c>
      <c r="CB35" s="13">
        <f t="shared" si="48"/>
        <v>40.010143611738826</v>
      </c>
      <c r="CC35" s="12">
        <f t="shared" si="49"/>
        <v>20.929703681609624</v>
      </c>
      <c r="CD35">
        <f t="shared" si="50"/>
        <v>0</v>
      </c>
      <c r="CE35">
        <f t="shared" si="51"/>
        <v>0</v>
      </c>
      <c r="CF35" s="85">
        <f t="shared" si="57"/>
        <v>-1.6298746038367895E-3</v>
      </c>
      <c r="CG35" s="333">
        <f t="shared" si="58"/>
        <v>-4.580460894798577E-3</v>
      </c>
      <c r="CH35" s="10"/>
      <c r="CI35" s="13"/>
    </row>
    <row r="36" spans="2:87" x14ac:dyDescent="0.25">
      <c r="B36">
        <f>'datapoints-plots'!D24</f>
        <v>-20</v>
      </c>
      <c r="C36" s="14">
        <f>'datapoints-plots'!E24</f>
        <v>30</v>
      </c>
      <c r="D36" s="3">
        <f t="shared" si="72"/>
        <v>1.09566744E-2</v>
      </c>
      <c r="E36" s="3">
        <f t="shared" si="73"/>
        <v>2.065356E-3</v>
      </c>
      <c r="F36" s="36">
        <f t="shared" si="59"/>
        <v>3.9080856184556311E-4</v>
      </c>
      <c r="G36" s="3">
        <f t="shared" si="2"/>
        <v>0.98916207323473804</v>
      </c>
      <c r="H36" s="3">
        <f t="shared" si="3"/>
        <v>0.99754985340140134</v>
      </c>
      <c r="I36" s="1">
        <f t="shared" si="4"/>
        <v>1.083792676526198E-2</v>
      </c>
      <c r="J36" s="14">
        <f t="shared" si="63"/>
        <v>-20.000000000000128</v>
      </c>
      <c r="K36" s="3">
        <f t="shared" si="5"/>
        <v>2.0602955750217045E-3</v>
      </c>
      <c r="L36" s="14">
        <f t="shared" si="64"/>
        <v>30.000000000000028</v>
      </c>
      <c r="M36" s="3">
        <f t="shared" si="74"/>
        <v>3.8985102357705397E-4</v>
      </c>
      <c r="N36" s="14">
        <f t="shared" si="6"/>
        <v>1.0000000000000002</v>
      </c>
      <c r="O36" s="108">
        <f t="shared" si="7"/>
        <v>4.6139898478128458E-5</v>
      </c>
      <c r="P36" s="3">
        <f t="shared" si="75"/>
        <v>0.98432078168424109</v>
      </c>
      <c r="Q36" s="3">
        <f t="shared" si="60"/>
        <v>1.1554221348992732E-2</v>
      </c>
      <c r="R36" s="3">
        <f t="shared" si="61"/>
        <v>4.0744801983446802E-3</v>
      </c>
      <c r="S36" s="108">
        <f t="shared" si="62"/>
        <v>4.6162968427367523E-5</v>
      </c>
      <c r="T36" s="1">
        <f t="shared" si="76"/>
        <v>15749.132506947857</v>
      </c>
      <c r="U36" s="1">
        <f t="shared" si="77"/>
        <v>18486.754158388372</v>
      </c>
      <c r="V36" s="1">
        <f t="shared" si="78"/>
        <v>21730.560840532686</v>
      </c>
      <c r="W36" s="1">
        <f t="shared" si="79"/>
        <v>2462.0249581726844</v>
      </c>
      <c r="X36" s="1">
        <f t="shared" si="65"/>
        <v>1.1738268219048122</v>
      </c>
      <c r="Y36">
        <f t="shared" si="8"/>
        <v>1.379794146182088</v>
      </c>
      <c r="Z36" s="11">
        <f t="shared" si="9"/>
        <v>0.15632765532238313</v>
      </c>
      <c r="AA36" s="17">
        <f t="shared" si="66"/>
        <v>0.98230228016493704</v>
      </c>
      <c r="AB36" s="17">
        <f t="shared" si="10"/>
        <v>1.0299356143284806</v>
      </c>
      <c r="AC36" s="17">
        <f t="shared" si="10"/>
        <v>1.0102204355369249</v>
      </c>
      <c r="AD36" s="19"/>
      <c r="AE36" s="19"/>
      <c r="AF36" s="19"/>
      <c r="AG36" s="18">
        <f t="shared" si="80"/>
        <v>1.1742174002093533E-2</v>
      </c>
      <c r="AH36" s="18">
        <f t="shared" si="67"/>
        <v>4.1395140463249261E-3</v>
      </c>
      <c r="AI36" s="18">
        <f t="shared" si="67"/>
        <v>4.6864110208331201E-5</v>
      </c>
      <c r="AJ36" s="3">
        <f t="shared" si="11"/>
        <v>30</v>
      </c>
      <c r="AK36" s="3">
        <f t="shared" si="53"/>
        <v>2.069757023162463E-3</v>
      </c>
      <c r="AL36" s="3">
        <f t="shared" si="12"/>
        <v>3.9324855249591551E-4</v>
      </c>
      <c r="AM36" s="3">
        <f t="shared" si="13"/>
        <v>0.99754304591594967</v>
      </c>
      <c r="AN36" s="1">
        <f t="shared" si="14"/>
        <v>8.7712525868362951E-6</v>
      </c>
      <c r="AO36" s="3">
        <f t="shared" si="54"/>
        <v>2.0653762157571906E-3</v>
      </c>
      <c r="AP36" s="3">
        <f t="shared" si="15"/>
        <v>3.9280885604722819E-4</v>
      </c>
      <c r="AQ36" s="3">
        <f t="shared" si="16"/>
        <v>0.99754784278445652</v>
      </c>
      <c r="AR36" s="14">
        <f t="shared" si="17"/>
        <v>3.4867182752140735E-10</v>
      </c>
      <c r="AS36" s="3">
        <f t="shared" si="55"/>
        <v>2.0653760416128354E-3</v>
      </c>
      <c r="AT36" s="3">
        <f t="shared" si="18"/>
        <v>3.9280883855982067E-4</v>
      </c>
      <c r="AU36" s="3">
        <f t="shared" si="19"/>
        <v>0.99754784297514953</v>
      </c>
      <c r="AV36" s="14">
        <f t="shared" si="20"/>
        <v>1.3652273755937472E-14</v>
      </c>
      <c r="AW36" s="3">
        <f t="shared" si="56"/>
        <v>2.0653760416060167E-3</v>
      </c>
      <c r="AX36" s="3">
        <f t="shared" si="21"/>
        <v>3.9280883855913595E-4</v>
      </c>
      <c r="AY36" s="3">
        <f t="shared" si="22"/>
        <v>0.99754784297515697</v>
      </c>
      <c r="AZ36">
        <f t="shared" si="23"/>
        <v>0</v>
      </c>
      <c r="BA36" s="108">
        <f t="shared" si="24"/>
        <v>1.0956556324975261E-2</v>
      </c>
      <c r="BB36" s="3">
        <f t="shared" si="25"/>
        <v>-20.0105610078406</v>
      </c>
      <c r="BC36" s="3">
        <f t="shared" si="26"/>
        <v>30.009994816485587</v>
      </c>
      <c r="BD36" s="3">
        <f t="shared" si="70"/>
        <v>15.734677759819071</v>
      </c>
      <c r="BE36" s="14">
        <f t="shared" si="27"/>
        <v>4.6883104375717723E-5</v>
      </c>
      <c r="BF36" s="108">
        <f t="shared" si="28"/>
        <v>1.0956556324975261E-2</v>
      </c>
      <c r="BG36" s="3">
        <f t="shared" si="29"/>
        <v>2.0653760416060167E-3</v>
      </c>
      <c r="BH36" s="3">
        <f t="shared" si="30"/>
        <v>3.9280883855913595E-4</v>
      </c>
      <c r="BI36" s="3">
        <f t="shared" si="31"/>
        <v>0.98916218876426854</v>
      </c>
      <c r="BJ36" s="3">
        <f t="shared" si="32"/>
        <v>0.99754784297515697</v>
      </c>
      <c r="BK36" s="14">
        <v>1</v>
      </c>
      <c r="BL36" s="108">
        <f t="shared" si="33"/>
        <v>1.083781123573152E-2</v>
      </c>
      <c r="BM36" s="3">
        <f t="shared" si="34"/>
        <v>-20.0105610078406</v>
      </c>
      <c r="BN36" s="14">
        <f t="shared" si="71"/>
        <v>2.0603114152366502E-3</v>
      </c>
      <c r="BO36" s="108">
        <f t="shared" si="35"/>
        <v>30.009994816485587</v>
      </c>
      <c r="BP36" s="3">
        <f t="shared" si="36"/>
        <v>3.9184560960624275E-4</v>
      </c>
      <c r="BQ36" s="1">
        <f t="shared" si="37"/>
        <v>15.734677759819071</v>
      </c>
      <c r="BR36" s="1">
        <f t="shared" si="38"/>
        <v>0.98431697465000645</v>
      </c>
      <c r="BS36" s="3">
        <f t="shared" si="39"/>
        <v>1.1742174002093533E-2</v>
      </c>
      <c r="BT36" s="3">
        <f t="shared" si="40"/>
        <v>4.1395140463249261E-3</v>
      </c>
      <c r="BU36" s="14">
        <f t="shared" si="41"/>
        <v>4.6883104375717723E-5</v>
      </c>
      <c r="BV36" s="3">
        <f t="shared" si="42"/>
        <v>1.1742174002093533E-2</v>
      </c>
      <c r="BW36" s="3">
        <f t="shared" si="43"/>
        <v>4.1395140463249278E-3</v>
      </c>
      <c r="BX36" s="5">
        <f t="shared" si="44"/>
        <v>4.6883104375717743E-5</v>
      </c>
      <c r="BY36" s="82">
        <f t="shared" si="45"/>
        <v>-0.4051388584322968</v>
      </c>
      <c r="BZ36" s="8">
        <f t="shared" si="46"/>
        <v>10.220435536924866</v>
      </c>
      <c r="CA36" s="13">
        <f t="shared" si="47"/>
        <v>-20.0105610078406</v>
      </c>
      <c r="CB36" s="13">
        <f t="shared" si="48"/>
        <v>30.009994816485587</v>
      </c>
      <c r="CC36" s="12">
        <f t="shared" si="49"/>
        <v>15.734677759819071</v>
      </c>
      <c r="CD36">
        <f t="shared" si="50"/>
        <v>0</v>
      </c>
      <c r="CE36">
        <f t="shared" si="51"/>
        <v>-4.4408920985006262E-13</v>
      </c>
      <c r="CF36" s="85">
        <f t="shared" si="57"/>
        <v>-1.6176022755720609E-3</v>
      </c>
      <c r="CG36" s="333">
        <f t="shared" si="58"/>
        <v>-4.5885017361246838E-3</v>
      </c>
      <c r="CH36" s="10"/>
      <c r="CI36" s="13"/>
    </row>
    <row r="37" spans="2:87" x14ac:dyDescent="0.25">
      <c r="B37">
        <f>'datapoints-plots'!D25</f>
        <v>-20</v>
      </c>
      <c r="C37" s="14">
        <f>'datapoints-plots'!E25</f>
        <v>20</v>
      </c>
      <c r="D37" s="3">
        <f t="shared" si="72"/>
        <v>1.09566744E-2</v>
      </c>
      <c r="E37" s="3">
        <f t="shared" si="73"/>
        <v>2.045304E-3</v>
      </c>
      <c r="F37" s="36">
        <f t="shared" si="59"/>
        <v>3.8880058144338234E-4</v>
      </c>
      <c r="G37" s="3">
        <f t="shared" si="2"/>
        <v>0.98916207323473804</v>
      </c>
      <c r="H37" s="3">
        <f t="shared" si="3"/>
        <v>0.99757180589694749</v>
      </c>
      <c r="I37" s="1">
        <f t="shared" si="4"/>
        <v>1.083792676526198E-2</v>
      </c>
      <c r="J37" s="14">
        <f t="shared" si="63"/>
        <v>-20.000000000000128</v>
      </c>
      <c r="K37" s="3">
        <f t="shared" si="5"/>
        <v>2.0403376048882503E-3</v>
      </c>
      <c r="L37" s="14">
        <f t="shared" si="64"/>
        <v>20.000000000000018</v>
      </c>
      <c r="M37" s="3">
        <f t="shared" si="74"/>
        <v>3.8785649816425812E-4</v>
      </c>
      <c r="N37" s="14">
        <f t="shared" si="6"/>
        <v>1</v>
      </c>
      <c r="O37" s="108">
        <f t="shared" si="7"/>
        <v>4.5685863031322433E-5</v>
      </c>
      <c r="P37" s="3">
        <f t="shared" si="75"/>
        <v>0.98436410535217755</v>
      </c>
      <c r="Q37" s="3">
        <f t="shared" si="60"/>
        <v>1.1550776951813448E-2</v>
      </c>
      <c r="R37" s="3">
        <f t="shared" si="61"/>
        <v>4.0351381864213789E-3</v>
      </c>
      <c r="S37" s="108">
        <f t="shared" si="62"/>
        <v>4.5708705962838091E-5</v>
      </c>
      <c r="T37" s="1">
        <f t="shared" si="76"/>
        <v>15749.825685634842</v>
      </c>
      <c r="U37" s="1">
        <f t="shared" si="77"/>
        <v>18481.243122901516</v>
      </c>
      <c r="V37" s="1">
        <f t="shared" si="78"/>
        <v>21520.736779039984</v>
      </c>
      <c r="W37" s="1">
        <f t="shared" si="79"/>
        <v>2437.7976269733881</v>
      </c>
      <c r="X37" s="1">
        <f t="shared" si="65"/>
        <v>1.1734252487478611</v>
      </c>
      <c r="Y37">
        <f t="shared" si="8"/>
        <v>1.3664111088333311</v>
      </c>
      <c r="Z37" s="11">
        <f t="shared" si="9"/>
        <v>0.154782514780266</v>
      </c>
      <c r="AA37" s="17">
        <f t="shared" si="66"/>
        <v>0.98196622869604488</v>
      </c>
      <c r="AB37" s="17">
        <f t="shared" si="66"/>
        <v>1.0199459598343572</v>
      </c>
      <c r="AC37" s="17">
        <f t="shared" si="66"/>
        <v>1.0002354296964397</v>
      </c>
      <c r="AD37" s="19"/>
      <c r="AE37" s="19"/>
      <c r="AF37" s="19"/>
      <c r="AG37" s="18">
        <f t="shared" si="80"/>
        <v>1.1738156934332347E-2</v>
      </c>
      <c r="AH37" s="18">
        <f t="shared" si="67"/>
        <v>4.099363657775329E-3</v>
      </c>
      <c r="AI37" s="18">
        <f t="shared" si="67"/>
        <v>4.64009059435208E-5</v>
      </c>
      <c r="AJ37" s="3">
        <f t="shared" si="11"/>
        <v>20</v>
      </c>
      <c r="AK37" s="3">
        <f t="shared" si="53"/>
        <v>2.0496818288876645E-3</v>
      </c>
      <c r="AL37" s="3">
        <f t="shared" si="12"/>
        <v>3.9123000405970982E-4</v>
      </c>
      <c r="AM37" s="3">
        <f t="shared" si="13"/>
        <v>0.99756503170996458</v>
      </c>
      <c r="AN37" s="1">
        <f t="shared" si="14"/>
        <v>8.725455621915422E-6</v>
      </c>
      <c r="AO37" s="3">
        <f t="shared" si="54"/>
        <v>2.0453238948041986E-3</v>
      </c>
      <c r="AP37" s="3">
        <f t="shared" si="15"/>
        <v>3.9079058552428489E-4</v>
      </c>
      <c r="AQ37" s="3">
        <f t="shared" si="16"/>
        <v>0.99756980575107135</v>
      </c>
      <c r="AR37" s="14">
        <f t="shared" si="17"/>
        <v>3.0243055195583457E-10</v>
      </c>
      <c r="AS37" s="3">
        <f t="shared" si="55"/>
        <v>2.0453237437550766E-3</v>
      </c>
      <c r="AT37" s="3">
        <f t="shared" si="18"/>
        <v>3.9079057028606849E-4</v>
      </c>
      <c r="AU37" s="3">
        <f t="shared" si="19"/>
        <v>0.99756980591655153</v>
      </c>
      <c r="AV37" s="14">
        <f t="shared" si="20"/>
        <v>1.0300788000350281E-14</v>
      </c>
      <c r="AW37" s="3">
        <f t="shared" si="56"/>
        <v>2.0453237437499318E-3</v>
      </c>
      <c r="AX37" s="3">
        <f t="shared" si="21"/>
        <v>3.9079057028554938E-4</v>
      </c>
      <c r="AY37" s="3">
        <f t="shared" si="22"/>
        <v>0.99756980591655708</v>
      </c>
      <c r="AZ37">
        <f t="shared" si="23"/>
        <v>0</v>
      </c>
      <c r="BA37" s="108">
        <f t="shared" si="24"/>
        <v>1.0956575793761249E-2</v>
      </c>
      <c r="BB37" s="3">
        <f t="shared" si="25"/>
        <v>-20.008819657356682</v>
      </c>
      <c r="BC37" s="3">
        <f t="shared" si="26"/>
        <v>20.009846274651856</v>
      </c>
      <c r="BD37" s="3">
        <f t="shared" si="70"/>
        <v>10.515790420053461</v>
      </c>
      <c r="BE37" s="14">
        <f t="shared" si="27"/>
        <v>4.6419748965170343E-5</v>
      </c>
      <c r="BF37" s="108">
        <f t="shared" si="28"/>
        <v>1.0956575793761249E-2</v>
      </c>
      <c r="BG37" s="3">
        <f t="shared" si="29"/>
        <v>2.0453237437499318E-3</v>
      </c>
      <c r="BH37" s="3">
        <f t="shared" si="30"/>
        <v>3.9079057028554938E-4</v>
      </c>
      <c r="BI37" s="3">
        <f t="shared" si="31"/>
        <v>0.98916216971519411</v>
      </c>
      <c r="BJ37" s="3">
        <f t="shared" si="32"/>
        <v>0.99756980591655708</v>
      </c>
      <c r="BK37" s="14">
        <v>1</v>
      </c>
      <c r="BL37" s="108">
        <f t="shared" si="33"/>
        <v>1.0837830284805852E-2</v>
      </c>
      <c r="BM37" s="3">
        <f t="shared" si="34"/>
        <v>-20.008819657356682</v>
      </c>
      <c r="BN37" s="14">
        <f t="shared" si="71"/>
        <v>2.0403532100891453E-3</v>
      </c>
      <c r="BO37" s="108">
        <f t="shared" si="35"/>
        <v>20.009846274651856</v>
      </c>
      <c r="BP37" s="3">
        <f t="shared" si="36"/>
        <v>3.8984087335377615E-4</v>
      </c>
      <c r="BQ37" s="1">
        <f t="shared" si="37"/>
        <v>10.515790420053461</v>
      </c>
      <c r="BR37" s="1">
        <f t="shared" si="38"/>
        <v>0.98436029944713521</v>
      </c>
      <c r="BS37" s="3">
        <f t="shared" si="39"/>
        <v>1.1738156934332347E-2</v>
      </c>
      <c r="BT37" s="3">
        <f t="shared" si="40"/>
        <v>4.099363657775329E-3</v>
      </c>
      <c r="BU37" s="14">
        <f t="shared" si="41"/>
        <v>4.6419748965170343E-5</v>
      </c>
      <c r="BV37" s="3">
        <f t="shared" si="42"/>
        <v>1.1738156934332349E-2</v>
      </c>
      <c r="BW37" s="3">
        <f t="shared" si="43"/>
        <v>4.0993636577753298E-3</v>
      </c>
      <c r="BX37" s="5">
        <f t="shared" si="44"/>
        <v>4.6419748965170343E-5</v>
      </c>
      <c r="BY37" s="82">
        <f t="shared" si="45"/>
        <v>-0.40592683221274406</v>
      </c>
      <c r="BZ37" s="8">
        <f t="shared" si="46"/>
        <v>0.23542969643974843</v>
      </c>
      <c r="CA37" s="13">
        <f t="shared" si="47"/>
        <v>-20.008819657356682</v>
      </c>
      <c r="CB37" s="13">
        <f t="shared" si="48"/>
        <v>20.009846274651856</v>
      </c>
      <c r="CC37" s="12">
        <f t="shared" si="49"/>
        <v>10.515790420053461</v>
      </c>
      <c r="CD37">
        <f t="shared" si="50"/>
        <v>-1.1102230246251565E-13</v>
      </c>
      <c r="CE37">
        <f t="shared" si="51"/>
        <v>-2.2204460492503131E-13</v>
      </c>
      <c r="CF37" s="85">
        <f t="shared" si="57"/>
        <v>-1.6052794111764968E-3</v>
      </c>
      <c r="CG37" s="333">
        <f t="shared" si="58"/>
        <v>-4.5965723521890212E-3</v>
      </c>
      <c r="CH37" s="10"/>
      <c r="CI37" s="13"/>
    </row>
    <row r="38" spans="2:87" x14ac:dyDescent="0.25">
      <c r="B38">
        <f>'datapoints-plots'!D26</f>
        <v>-20</v>
      </c>
      <c r="C38" s="14">
        <f>'datapoints-plots'!E26</f>
        <v>10</v>
      </c>
      <c r="D38" s="3">
        <f t="shared" si="72"/>
        <v>1.09566744E-2</v>
      </c>
      <c r="E38" s="3">
        <f t="shared" si="73"/>
        <v>2.025252E-3</v>
      </c>
      <c r="F38" s="36">
        <f t="shared" si="59"/>
        <v>3.8678328749353459E-4</v>
      </c>
      <c r="G38" s="3">
        <f t="shared" si="2"/>
        <v>0.98916207323473804</v>
      </c>
      <c r="H38" s="3">
        <f t="shared" si="3"/>
        <v>0.99759376862748694</v>
      </c>
      <c r="I38" s="1">
        <f t="shared" si="4"/>
        <v>1.083792676526198E-2</v>
      </c>
      <c r="J38" s="14">
        <f t="shared" si="63"/>
        <v>-20.000000000000128</v>
      </c>
      <c r="K38" s="3">
        <f t="shared" si="5"/>
        <v>2.0203787751003552E-3</v>
      </c>
      <c r="L38" s="14">
        <f t="shared" si="64"/>
        <v>10.000000000000009</v>
      </c>
      <c r="M38" s="3">
        <f t="shared" si="74"/>
        <v>3.8585259741280391E-4</v>
      </c>
      <c r="N38" s="14">
        <f t="shared" si="6"/>
        <v>1</v>
      </c>
      <c r="O38" s="108">
        <f t="shared" si="7"/>
        <v>4.5231909829996256E-5</v>
      </c>
      <c r="P38" s="3">
        <f t="shared" si="75"/>
        <v>0.98440745017284315</v>
      </c>
      <c r="Q38" s="3">
        <f t="shared" si="60"/>
        <v>1.1547314118117323E-2</v>
      </c>
      <c r="R38" s="3">
        <f t="shared" si="61"/>
        <v>3.9957925813986104E-3</v>
      </c>
      <c r="S38" s="108">
        <f t="shared" si="62"/>
        <v>4.5254525784911253E-5</v>
      </c>
      <c r="T38" s="1">
        <f t="shared" si="76"/>
        <v>15750.51920276549</v>
      </c>
      <c r="U38" s="1">
        <f t="shared" si="77"/>
        <v>18475.702588987715</v>
      </c>
      <c r="V38" s="1">
        <f t="shared" si="78"/>
        <v>21310.893554350318</v>
      </c>
      <c r="W38" s="1">
        <f t="shared" si="79"/>
        <v>2413.5746843928528</v>
      </c>
      <c r="X38" s="1">
        <f t="shared" si="65"/>
        <v>1.1730218128773644</v>
      </c>
      <c r="Y38">
        <f t="shared" si="8"/>
        <v>1.3530280037123177</v>
      </c>
      <c r="Z38" s="11">
        <f t="shared" si="9"/>
        <v>0.15323778558163817</v>
      </c>
      <c r="AA38" s="17">
        <f t="shared" si="66"/>
        <v>0.98162861843864235</v>
      </c>
      <c r="AB38" s="17">
        <f t="shared" si="66"/>
        <v>1.009956254752209</v>
      </c>
      <c r="AC38" s="17">
        <f t="shared" si="66"/>
        <v>0.99025308203948637</v>
      </c>
      <c r="AD38" s="19"/>
      <c r="AE38" s="19"/>
      <c r="AF38" s="19"/>
      <c r="AG38" s="18">
        <f t="shared" si="80"/>
        <v>1.1734121233237724E-2</v>
      </c>
      <c r="AH38" s="18">
        <f t="shared" si="80"/>
        <v>4.0592130659024978E-3</v>
      </c>
      <c r="AI38" s="18">
        <f t="shared" si="80"/>
        <v>4.593782499180287E-5</v>
      </c>
      <c r="AJ38" s="3">
        <f t="shared" si="11"/>
        <v>10</v>
      </c>
      <c r="AK38" s="3">
        <f t="shared" si="53"/>
        <v>2.0296065329512489E-3</v>
      </c>
      <c r="AL38" s="3">
        <f t="shared" si="12"/>
        <v>3.8920209197731585E-4</v>
      </c>
      <c r="AM38" s="3">
        <f t="shared" si="13"/>
        <v>0.99758702789281595</v>
      </c>
      <c r="AN38" s="1">
        <f t="shared" si="14"/>
        <v>8.6794542577843178E-6</v>
      </c>
      <c r="AO38" s="3">
        <f t="shared" si="54"/>
        <v>2.0252715742768985E-3</v>
      </c>
      <c r="AP38" s="3">
        <f t="shared" si="15"/>
        <v>3.8876295370958284E-4</v>
      </c>
      <c r="AQ38" s="3">
        <f t="shared" si="16"/>
        <v>0.9975917790006571</v>
      </c>
      <c r="AR38" s="14">
        <f t="shared" si="17"/>
        <v>2.5600840804912428E-10</v>
      </c>
      <c r="AS38" s="3">
        <f t="shared" si="55"/>
        <v>2.0252714464133446E-3</v>
      </c>
      <c r="AT38" s="3">
        <f t="shared" si="18"/>
        <v>3.8876294075026004E-4</v>
      </c>
      <c r="AU38" s="3">
        <f t="shared" si="19"/>
        <v>0.99759177914080255</v>
      </c>
      <c r="AV38" s="14">
        <f t="shared" si="20"/>
        <v>7.395993539827117E-15</v>
      </c>
      <c r="AW38" s="3">
        <f t="shared" si="56"/>
        <v>2.0252714464096505E-3</v>
      </c>
      <c r="AX38" s="3">
        <f t="shared" si="21"/>
        <v>3.8876294074988556E-4</v>
      </c>
      <c r="AY38" s="3">
        <f t="shared" si="22"/>
        <v>0.99759177914080621</v>
      </c>
      <c r="AZ38">
        <f t="shared" si="23"/>
        <v>0</v>
      </c>
      <c r="BA38" s="108">
        <f t="shared" si="24"/>
        <v>1.0956595351737953E-2</v>
      </c>
      <c r="BB38" s="3">
        <f t="shared" si="25"/>
        <v>-20.007070329369991</v>
      </c>
      <c r="BC38" s="3">
        <f t="shared" si="26"/>
        <v>10.009697990051247</v>
      </c>
      <c r="BD38" s="3">
        <f t="shared" si="70"/>
        <v>5.2726965004299409</v>
      </c>
      <c r="BE38" s="14">
        <f t="shared" si="27"/>
        <v>4.5956516340958229E-5</v>
      </c>
      <c r="BF38" s="108">
        <f t="shared" si="28"/>
        <v>1.0956595351737953E-2</v>
      </c>
      <c r="BG38" s="3">
        <f t="shared" si="29"/>
        <v>2.0252714464096509E-3</v>
      </c>
      <c r="BH38" s="3">
        <f t="shared" si="30"/>
        <v>3.8876294074988556E-4</v>
      </c>
      <c r="BI38" s="3">
        <f t="shared" si="31"/>
        <v>0.98916215057885271</v>
      </c>
      <c r="BJ38" s="3">
        <f t="shared" si="32"/>
        <v>0.99759177914080621</v>
      </c>
      <c r="BK38" s="14">
        <v>1</v>
      </c>
      <c r="BL38" s="108">
        <f t="shared" si="33"/>
        <v>1.0837849421147374E-2</v>
      </c>
      <c r="BM38" s="3">
        <f t="shared" si="34"/>
        <v>-20.007070329369991</v>
      </c>
      <c r="BN38" s="14">
        <f t="shared" si="71"/>
        <v>2.0203941454668777E-3</v>
      </c>
      <c r="BO38" s="108">
        <f t="shared" si="35"/>
        <v>10.009697990051247</v>
      </c>
      <c r="BP38" s="3">
        <f t="shared" si="36"/>
        <v>3.8782671372669019E-4</v>
      </c>
      <c r="BQ38" s="1">
        <f t="shared" si="37"/>
        <v>5.2726965004299409</v>
      </c>
      <c r="BR38" s="1">
        <f t="shared" si="38"/>
        <v>0.98440364540385339</v>
      </c>
      <c r="BS38" s="3">
        <f t="shared" si="39"/>
        <v>1.1734121233237724E-2</v>
      </c>
      <c r="BT38" s="3">
        <f t="shared" si="40"/>
        <v>4.0592130659024986E-3</v>
      </c>
      <c r="BU38" s="14">
        <f t="shared" si="41"/>
        <v>4.5956516340958242E-5</v>
      </c>
      <c r="BV38" s="3">
        <f t="shared" si="42"/>
        <v>1.1734121233237723E-2</v>
      </c>
      <c r="BW38" s="3">
        <f t="shared" si="43"/>
        <v>4.0592130659024995E-3</v>
      </c>
      <c r="BX38" s="5">
        <f t="shared" si="44"/>
        <v>4.5956516340958242E-5</v>
      </c>
      <c r="BY38" s="82">
        <f t="shared" si="45"/>
        <v>-0.4067181467084513</v>
      </c>
      <c r="BZ38" s="8">
        <f t="shared" si="46"/>
        <v>-9.7469179605136347</v>
      </c>
      <c r="CA38" s="13">
        <f t="shared" si="47"/>
        <v>-20.007070329369991</v>
      </c>
      <c r="CB38" s="13">
        <f t="shared" si="48"/>
        <v>10.009697990051247</v>
      </c>
      <c r="CC38" s="12">
        <f t="shared" si="49"/>
        <v>5.2726965004299409</v>
      </c>
      <c r="CD38">
        <f t="shared" si="50"/>
        <v>2.2204460492503131E-13</v>
      </c>
      <c r="CE38">
        <f t="shared" si="51"/>
        <v>-4.4408920985006262E-13</v>
      </c>
      <c r="CF38" s="85">
        <f t="shared" si="57"/>
        <v>-1.5929057475272401E-3</v>
      </c>
      <c r="CG38" s="333">
        <f t="shared" si="58"/>
        <v>-4.6046730864945928E-3</v>
      </c>
      <c r="CH38" s="10"/>
      <c r="CI38" s="13"/>
    </row>
    <row r="39" spans="2:87" x14ac:dyDescent="0.25">
      <c r="B39">
        <f>'datapoints-plots'!D27</f>
        <v>-20</v>
      </c>
      <c r="C39" s="14">
        <f>'datapoints-plots'!E27</f>
        <v>0</v>
      </c>
      <c r="D39" s="3">
        <f t="shared" si="72"/>
        <v>1.09566744E-2</v>
      </c>
      <c r="E39" s="3">
        <f t="shared" si="73"/>
        <v>2.0052E-3</v>
      </c>
      <c r="F39" s="36">
        <f t="shared" si="59"/>
        <v>3.8475654393587772E-4</v>
      </c>
      <c r="G39" s="3">
        <f t="shared" si="2"/>
        <v>0.98916207323473804</v>
      </c>
      <c r="H39" s="3">
        <f t="shared" si="3"/>
        <v>0.99761574172971967</v>
      </c>
      <c r="I39" s="1">
        <f t="shared" si="4"/>
        <v>1.083792676526198E-2</v>
      </c>
      <c r="J39" s="14">
        <f t="shared" si="63"/>
        <v>-20.000000000000128</v>
      </c>
      <c r="K39" s="3">
        <f t="shared" si="5"/>
        <v>2.0004190853164338E-3</v>
      </c>
      <c r="L39" s="14">
        <f t="shared" si="64"/>
        <v>0</v>
      </c>
      <c r="M39" s="3">
        <f t="shared" si="74"/>
        <v>3.8383918496395411E-4</v>
      </c>
      <c r="N39" s="14">
        <f t="shared" si="6"/>
        <v>1</v>
      </c>
      <c r="O39" s="108">
        <f t="shared" si="7"/>
        <v>4.4778039439151229E-5</v>
      </c>
      <c r="P39" s="3">
        <f t="shared" si="75"/>
        <v>0.98445081641736298</v>
      </c>
      <c r="Q39" s="3">
        <f t="shared" si="60"/>
        <v>1.1543832580516122E-2</v>
      </c>
      <c r="R39" s="3">
        <f t="shared" si="61"/>
        <v>3.9564433788639303E-3</v>
      </c>
      <c r="S39" s="108">
        <f t="shared" si="62"/>
        <v>4.4800428458870804E-5</v>
      </c>
      <c r="T39" s="1">
        <f t="shared" si="76"/>
        <v>15751.213062677807</v>
      </c>
      <c r="U39" s="1">
        <f t="shared" si="77"/>
        <v>18470.132128825797</v>
      </c>
      <c r="V39" s="1">
        <f t="shared" si="78"/>
        <v>21101.031142930646</v>
      </c>
      <c r="W39" s="1">
        <f t="shared" si="79"/>
        <v>2389.3561605795476</v>
      </c>
      <c r="X39" s="1">
        <f t="shared" si="65"/>
        <v>1.1726164870812659</v>
      </c>
      <c r="Y39">
        <f t="shared" si="8"/>
        <v>1.3396448298276866</v>
      </c>
      <c r="Z39" s="11">
        <f t="shared" si="9"/>
        <v>0.15169346964400351</v>
      </c>
      <c r="AA39" s="17">
        <f t="shared" si="66"/>
        <v>0.98128942662066099</v>
      </c>
      <c r="AB39" s="17">
        <f t="shared" si="66"/>
        <v>0.99996649834204276</v>
      </c>
      <c r="AC39" s="17">
        <f t="shared" si="66"/>
        <v>0.98027340495735638</v>
      </c>
      <c r="AD39" s="19"/>
      <c r="AE39" s="19"/>
      <c r="AF39" s="19"/>
      <c r="AG39" s="18">
        <f t="shared" si="80"/>
        <v>1.1730066626598559E-2</v>
      </c>
      <c r="AH39" s="18">
        <f t="shared" si="80"/>
        <v>4.0190622677322551E-3</v>
      </c>
      <c r="AI39" s="18">
        <f t="shared" si="80"/>
        <v>4.547486792800924E-5</v>
      </c>
      <c r="AJ39" s="3">
        <f t="shared" si="11"/>
        <v>0</v>
      </c>
      <c r="AK39" s="3">
        <f t="shared" si="53"/>
        <v>2.0095311338661275E-3</v>
      </c>
      <c r="AL39" s="3">
        <f t="shared" si="12"/>
        <v>3.8716467944636311E-4</v>
      </c>
      <c r="AM39" s="3">
        <f t="shared" si="13"/>
        <v>0.99760903460344308</v>
      </c>
      <c r="AN39" s="1">
        <f t="shared" si="14"/>
        <v>8.6332455037103212E-6</v>
      </c>
      <c r="AO39" s="3">
        <f t="shared" si="54"/>
        <v>2.005219254181925E-3</v>
      </c>
      <c r="AP39" s="3">
        <f t="shared" si="15"/>
        <v>3.8672582384527985E-4</v>
      </c>
      <c r="AQ39" s="3">
        <f t="shared" si="16"/>
        <v>0.99761376267060786</v>
      </c>
      <c r="AR39" s="14">
        <f t="shared" si="17"/>
        <v>2.0940297152521881E-10</v>
      </c>
      <c r="AS39" s="3">
        <f t="shared" si="55"/>
        <v>2.0052191495954844E-3</v>
      </c>
      <c r="AT39" s="3">
        <f t="shared" si="18"/>
        <v>3.8672581319525509E-4</v>
      </c>
      <c r="AU39" s="3">
        <f t="shared" si="19"/>
        <v>0.99761376278529501</v>
      </c>
      <c r="AV39" s="14">
        <f t="shared" si="20"/>
        <v>4.9509008004378074E-15</v>
      </c>
      <c r="AW39" s="3">
        <f t="shared" si="56"/>
        <v>2.0052191495930115E-3</v>
      </c>
      <c r="AX39" s="3">
        <f t="shared" si="21"/>
        <v>3.8672581319500334E-4</v>
      </c>
      <c r="AY39" s="3">
        <f t="shared" si="22"/>
        <v>0.99761376278529768</v>
      </c>
      <c r="AZ39">
        <f t="shared" si="23"/>
        <v>0</v>
      </c>
      <c r="BA39" s="108">
        <f t="shared" si="24"/>
        <v>1.0956615000208551E-2</v>
      </c>
      <c r="BB39" s="3">
        <f t="shared" si="25"/>
        <v>-20.005312907319773</v>
      </c>
      <c r="BC39" s="3">
        <f t="shared" si="26"/>
        <v>9.5499665926368493E-3</v>
      </c>
      <c r="BD39" s="3">
        <f t="shared" si="70"/>
        <v>5.0423709965219388E-3</v>
      </c>
      <c r="BE39" s="14">
        <f t="shared" si="27"/>
        <v>4.5493407075669945E-5</v>
      </c>
      <c r="BF39" s="108">
        <f t="shared" si="28"/>
        <v>1.0956615000208551E-2</v>
      </c>
      <c r="BG39" s="3">
        <f t="shared" si="29"/>
        <v>2.0052191495930115E-3</v>
      </c>
      <c r="BH39" s="3">
        <f t="shared" si="30"/>
        <v>3.8672581319500334E-4</v>
      </c>
      <c r="BI39" s="3">
        <f t="shared" si="31"/>
        <v>0.98916213135396891</v>
      </c>
      <c r="BJ39" s="3">
        <f t="shared" si="32"/>
        <v>0.99761376278529768</v>
      </c>
      <c r="BK39" s="14">
        <v>1</v>
      </c>
      <c r="BL39" s="108">
        <f t="shared" si="33"/>
        <v>1.0837868646031158E-2</v>
      </c>
      <c r="BM39" s="3">
        <f t="shared" si="34"/>
        <v>-20.005312907319773</v>
      </c>
      <c r="BN39" s="14">
        <f t="shared" si="71"/>
        <v>2.0004342210346187E-3</v>
      </c>
      <c r="BO39" s="108">
        <f t="shared" si="35"/>
        <v>9.5499665926368493E-3</v>
      </c>
      <c r="BP39" s="3">
        <f t="shared" si="36"/>
        <v>3.858029936676714E-4</v>
      </c>
      <c r="BQ39" s="1">
        <f t="shared" si="37"/>
        <v>5.0423709965219388E-3</v>
      </c>
      <c r="BR39" s="1">
        <f t="shared" si="38"/>
        <v>0.98444701279137969</v>
      </c>
      <c r="BS39" s="3">
        <f t="shared" si="39"/>
        <v>1.1730066626598559E-2</v>
      </c>
      <c r="BT39" s="3">
        <f t="shared" si="40"/>
        <v>4.0190622677322551E-3</v>
      </c>
      <c r="BU39" s="14">
        <f t="shared" si="41"/>
        <v>4.5493407075669945E-5</v>
      </c>
      <c r="BV39" s="3">
        <f t="shared" si="42"/>
        <v>1.173006662659856E-2</v>
      </c>
      <c r="BW39" s="3">
        <f t="shared" si="43"/>
        <v>4.0190622677322542E-3</v>
      </c>
      <c r="BX39" s="5">
        <f t="shared" si="44"/>
        <v>4.5493407075669945E-5</v>
      </c>
      <c r="BY39" s="82">
        <f t="shared" si="45"/>
        <v>-0.40751284312179337</v>
      </c>
      <c r="BZ39" s="8">
        <f t="shared" si="46"/>
        <v>-19.726595042643623</v>
      </c>
      <c r="CA39" s="13">
        <f t="shared" si="47"/>
        <v>-20.005312907319773</v>
      </c>
      <c r="CB39" s="13">
        <f t="shared" si="48"/>
        <v>9.5499665926368493E-3</v>
      </c>
      <c r="CC39" s="12">
        <f t="shared" si="49"/>
        <v>5.0423709965219388E-3</v>
      </c>
      <c r="CD39">
        <f t="shared" si="50"/>
        <v>-1.1102230246251565E-13</v>
      </c>
      <c r="CE39">
        <f t="shared" si="51"/>
        <v>2.2204460492503131E-13</v>
      </c>
      <c r="CF39" s="85">
        <f t="shared" si="57"/>
        <v>-1.5804810197250774E-3</v>
      </c>
      <c r="CG39" s="333">
        <f t="shared" si="58"/>
        <v>-4.6128042873183617E-3</v>
      </c>
      <c r="CH39" s="10"/>
      <c r="CI39" s="13"/>
    </row>
    <row r="40" spans="2:87" x14ac:dyDescent="0.25">
      <c r="B40">
        <f>'datapoints-plots'!D28</f>
        <v>-30</v>
      </c>
      <c r="C40" s="14">
        <f>'datapoints-plots'!E28</f>
        <v>50</v>
      </c>
      <c r="D40" s="3">
        <f t="shared" si="72"/>
        <v>1.08448716E-2</v>
      </c>
      <c r="E40" s="3">
        <f t="shared" si="73"/>
        <v>2.10546E-3</v>
      </c>
      <c r="F40" s="36">
        <f t="shared" si="59"/>
        <v>3.9479711006544413E-4</v>
      </c>
      <c r="G40" s="3">
        <f t="shared" si="2"/>
        <v>0.98927147784522629</v>
      </c>
      <c r="H40" s="3">
        <f t="shared" si="3"/>
        <v>0.9975059785847108</v>
      </c>
      <c r="I40" s="1">
        <f t="shared" si="4"/>
        <v>1.0728522154773724E-2</v>
      </c>
      <c r="J40" s="14">
        <f t="shared" si="63"/>
        <v>-30.000000000000028</v>
      </c>
      <c r="K40" s="3">
        <f t="shared" si="5"/>
        <v>2.1002089376709653E-3</v>
      </c>
      <c r="L40" s="14">
        <f t="shared" si="64"/>
        <v>50.000000000000043</v>
      </c>
      <c r="M40" s="3">
        <f t="shared" si="74"/>
        <v>3.9381247761824661E-4</v>
      </c>
      <c r="N40" s="14">
        <f t="shared" si="6"/>
        <v>1</v>
      </c>
      <c r="O40" s="108">
        <f t="shared" si="7"/>
        <v>4.6589978929077439E-5</v>
      </c>
      <c r="P40" s="3">
        <f t="shared" si="75"/>
        <v>0.98434305677735756</v>
      </c>
      <c r="Q40" s="3">
        <f t="shared" si="60"/>
        <v>1.1452282488573318E-2</v>
      </c>
      <c r="R40" s="3">
        <f t="shared" si="61"/>
        <v>4.15352636933E-3</v>
      </c>
      <c r="S40" s="108">
        <f t="shared" si="62"/>
        <v>4.6613273918541972E-5</v>
      </c>
      <c r="T40" s="1">
        <f t="shared" si="76"/>
        <v>15749.488908437721</v>
      </c>
      <c r="U40" s="1">
        <f t="shared" si="77"/>
        <v>18323.65198171731</v>
      </c>
      <c r="V40" s="1">
        <f t="shared" si="78"/>
        <v>22152.140414905258</v>
      </c>
      <c r="W40" s="1">
        <f t="shared" si="79"/>
        <v>2486.0412507951587</v>
      </c>
      <c r="X40" s="1">
        <f t="shared" si="65"/>
        <v>1.1634442290949831</v>
      </c>
      <c r="Y40">
        <f t="shared" si="8"/>
        <v>1.4065307479938187</v>
      </c>
      <c r="Z40" s="11">
        <f t="shared" si="9"/>
        <v>0.15784901118050076</v>
      </c>
      <c r="AA40" s="17">
        <f t="shared" si="66"/>
        <v>0.97361373735708978</v>
      </c>
      <c r="AB40" s="17">
        <f t="shared" si="66"/>
        <v>1.0498929235316077</v>
      </c>
      <c r="AC40" s="17">
        <f t="shared" si="66"/>
        <v>1.0200517400135691</v>
      </c>
      <c r="AD40" s="19"/>
      <c r="AE40" s="19"/>
      <c r="AF40" s="19"/>
      <c r="AG40" s="18">
        <f t="shared" si="80"/>
        <v>1.1638313527029534E-2</v>
      </c>
      <c r="AH40" s="18">
        <f t="shared" si="80"/>
        <v>4.2197264019555817E-3</v>
      </c>
      <c r="AI40" s="18">
        <f t="shared" si="80"/>
        <v>4.7320184269276366E-5</v>
      </c>
      <c r="AJ40" s="3">
        <f t="shared" si="11"/>
        <v>50</v>
      </c>
      <c r="AK40" s="3">
        <f t="shared" si="53"/>
        <v>2.1098632009777908E-3</v>
      </c>
      <c r="AL40" s="3">
        <f t="shared" si="12"/>
        <v>3.9725372396894293E-4</v>
      </c>
      <c r="AM40" s="3">
        <f t="shared" si="13"/>
        <v>0.99749915299091652</v>
      </c>
      <c r="AN40" s="1">
        <f t="shared" si="14"/>
        <v>8.7732952150400279E-6</v>
      </c>
      <c r="AO40" s="3">
        <f t="shared" si="54"/>
        <v>2.1054813733806278E-3</v>
      </c>
      <c r="AP40" s="3">
        <f t="shared" si="15"/>
        <v>3.9681789517951303E-4</v>
      </c>
      <c r="AQ40" s="3">
        <f t="shared" si="16"/>
        <v>0.99750394660402686</v>
      </c>
      <c r="AR40" s="14">
        <f t="shared" si="17"/>
        <v>5.3363433984154884E-10</v>
      </c>
      <c r="AS40" s="3">
        <f t="shared" si="55"/>
        <v>2.1054811068566344E-3</v>
      </c>
      <c r="AT40" s="3">
        <f t="shared" si="18"/>
        <v>3.9681786865727967E-4</v>
      </c>
      <c r="AU40" s="3">
        <f t="shared" si="19"/>
        <v>0.99750394689561206</v>
      </c>
      <c r="AV40" s="14">
        <f t="shared" si="20"/>
        <v>3.2152232265492131E-14</v>
      </c>
      <c r="AW40" s="3">
        <f t="shared" si="56"/>
        <v>2.1054811068405761E-3</v>
      </c>
      <c r="AX40" s="3">
        <f t="shared" si="21"/>
        <v>3.9681786865568167E-4</v>
      </c>
      <c r="AY40" s="3">
        <f t="shared" si="22"/>
        <v>0.99750394689562949</v>
      </c>
      <c r="AZ40">
        <f t="shared" si="23"/>
        <v>0</v>
      </c>
      <c r="BA40" s="108">
        <f t="shared" si="24"/>
        <v>1.084467778971817E-2</v>
      </c>
      <c r="BB40" s="3">
        <f t="shared" si="25"/>
        <v>-30.017335011451539</v>
      </c>
      <c r="BC40" s="3">
        <f t="shared" si="26"/>
        <v>50.010526052551405</v>
      </c>
      <c r="BD40" s="3">
        <f t="shared" si="70"/>
        <v>26.101325588267166</v>
      </c>
      <c r="BE40" s="14">
        <f t="shared" si="27"/>
        <v>4.7339221093580857E-5</v>
      </c>
      <c r="BF40" s="108">
        <f t="shared" si="28"/>
        <v>1.084467778971817E-2</v>
      </c>
      <c r="BG40" s="3">
        <f t="shared" si="29"/>
        <v>2.1054811068405761E-3</v>
      </c>
      <c r="BH40" s="3">
        <f t="shared" si="30"/>
        <v>3.9681786865568167E-4</v>
      </c>
      <c r="BI40" s="3">
        <f t="shared" si="31"/>
        <v>0.98927166751925644</v>
      </c>
      <c r="BJ40" s="3">
        <f t="shared" si="32"/>
        <v>0.99750394689562949</v>
      </c>
      <c r="BK40" s="14">
        <v>1</v>
      </c>
      <c r="BL40" s="108">
        <f t="shared" si="33"/>
        <v>1.0728332480743539E-2</v>
      </c>
      <c r="BM40" s="3">
        <f t="shared" si="34"/>
        <v>-30.017335011451539</v>
      </c>
      <c r="BN40" s="14">
        <f t="shared" si="71"/>
        <v>2.1002257141876533E-3</v>
      </c>
      <c r="BO40" s="108">
        <f t="shared" si="35"/>
        <v>50.010526052551405</v>
      </c>
      <c r="BP40" s="3">
        <f t="shared" si="36"/>
        <v>3.9582739018275396E-4</v>
      </c>
      <c r="BQ40" s="1">
        <f t="shared" si="37"/>
        <v>26.101325588267166</v>
      </c>
      <c r="BR40" s="1">
        <f t="shared" si="38"/>
        <v>0.98433928172627472</v>
      </c>
      <c r="BS40" s="3">
        <f t="shared" si="39"/>
        <v>1.1638313527029534E-2</v>
      </c>
      <c r="BT40" s="3">
        <f t="shared" si="40"/>
        <v>4.2197264019555834E-3</v>
      </c>
      <c r="BU40" s="14">
        <f t="shared" si="41"/>
        <v>4.7339221093580857E-5</v>
      </c>
      <c r="BV40" s="3">
        <f t="shared" si="42"/>
        <v>1.1638313527029535E-2</v>
      </c>
      <c r="BW40" s="3">
        <f t="shared" si="43"/>
        <v>4.2197264019555843E-3</v>
      </c>
      <c r="BX40" s="5">
        <f t="shared" si="44"/>
        <v>4.7339221093580864E-5</v>
      </c>
      <c r="BY40" s="82">
        <f t="shared" si="45"/>
        <v>-0.40213640750164092</v>
      </c>
      <c r="BZ40" s="8">
        <f t="shared" si="46"/>
        <v>20.05174001356913</v>
      </c>
      <c r="CA40" s="13">
        <f t="shared" si="47"/>
        <v>-30.017335011451539</v>
      </c>
      <c r="CB40" s="13">
        <f t="shared" si="48"/>
        <v>50.010526052551405</v>
      </c>
      <c r="CC40" s="12">
        <f t="shared" si="49"/>
        <v>26.101325588267166</v>
      </c>
      <c r="CD40">
        <f t="shared" si="50"/>
        <v>-1.1102230246251565E-13</v>
      </c>
      <c r="CE40">
        <f t="shared" si="51"/>
        <v>-6.6613381477509392E-13</v>
      </c>
      <c r="CF40" s="85">
        <f t="shared" si="57"/>
        <v>-1.6357029961611147E-3</v>
      </c>
      <c r="CG40" s="333">
        <f t="shared" si="58"/>
        <v>-4.5113882971570263E-3</v>
      </c>
      <c r="CH40" s="10"/>
      <c r="CI40" s="13"/>
    </row>
    <row r="41" spans="2:87" x14ac:dyDescent="0.25">
      <c r="B41">
        <f>'datapoints-plots'!D29</f>
        <v>-30</v>
      </c>
      <c r="C41" s="14">
        <f>'datapoints-plots'!E29</f>
        <v>40</v>
      </c>
      <c r="D41" s="3">
        <f t="shared" si="72"/>
        <v>1.08448716E-2</v>
      </c>
      <c r="E41" s="3">
        <f t="shared" si="73"/>
        <v>2.085408E-3</v>
      </c>
      <c r="F41" s="36">
        <f t="shared" si="59"/>
        <v>3.9280736150210311E-4</v>
      </c>
      <c r="G41" s="3">
        <f t="shared" si="2"/>
        <v>0.98927147784522629</v>
      </c>
      <c r="H41" s="3">
        <f t="shared" si="3"/>
        <v>0.99752791100741445</v>
      </c>
      <c r="I41" s="1">
        <f t="shared" si="4"/>
        <v>1.0728522154773724E-2</v>
      </c>
      <c r="J41" s="14">
        <f t="shared" si="63"/>
        <v>-30.000000000000028</v>
      </c>
      <c r="K41" s="3">
        <f t="shared" si="5"/>
        <v>2.08025268583815E-3</v>
      </c>
      <c r="L41" s="14">
        <f t="shared" si="64"/>
        <v>40.000000000000036</v>
      </c>
      <c r="M41" s="3">
        <f t="shared" si="74"/>
        <v>3.9183630674752718E-4</v>
      </c>
      <c r="N41" s="14">
        <f t="shared" si="6"/>
        <v>1</v>
      </c>
      <c r="O41" s="108">
        <f t="shared" si="7"/>
        <v>4.6140123943441409E-5</v>
      </c>
      <c r="P41" s="3">
        <f t="shared" si="75"/>
        <v>0.98438634371042222</v>
      </c>
      <c r="Q41" s="3">
        <f t="shared" si="60"/>
        <v>1.1448868968822192E-2</v>
      </c>
      <c r="R41" s="3">
        <f t="shared" si="61"/>
        <v>4.1141876100045157E-3</v>
      </c>
      <c r="S41" s="108">
        <f t="shared" si="62"/>
        <v>4.6163194005413126E-5</v>
      </c>
      <c r="T41" s="1">
        <f t="shared" si="76"/>
        <v>15750.181499366756</v>
      </c>
      <c r="U41" s="1">
        <f t="shared" si="77"/>
        <v>18318.190350115507</v>
      </c>
      <c r="V41" s="1">
        <f t="shared" si="78"/>
        <v>21942.333700600742</v>
      </c>
      <c r="W41" s="1">
        <f t="shared" si="79"/>
        <v>2462.0369890016632</v>
      </c>
      <c r="X41" s="1">
        <f t="shared" si="65"/>
        <v>1.1630463020919473</v>
      </c>
      <c r="Y41">
        <f t="shared" si="8"/>
        <v>1.3931479901665225</v>
      </c>
      <c r="Z41" s="11">
        <f t="shared" si="9"/>
        <v>0.15631800745284433</v>
      </c>
      <c r="AA41" s="17">
        <f t="shared" si="66"/>
        <v>0.97328073712645358</v>
      </c>
      <c r="AB41" s="17">
        <f t="shared" si="66"/>
        <v>1.0399034776839033</v>
      </c>
      <c r="AC41" s="17">
        <f t="shared" si="66"/>
        <v>1.0101580890829502</v>
      </c>
      <c r="AD41" s="19"/>
      <c r="AE41" s="19"/>
      <c r="AF41" s="19"/>
      <c r="AG41" s="18">
        <f t="shared" si="80"/>
        <v>1.1634332932939686E-2</v>
      </c>
      <c r="AH41" s="18">
        <f t="shared" si="80"/>
        <v>4.1795768519970284E-3</v>
      </c>
      <c r="AI41" s="18">
        <f t="shared" si="80"/>
        <v>4.6861217957306192E-5</v>
      </c>
      <c r="AJ41" s="3">
        <f t="shared" si="11"/>
        <v>40</v>
      </c>
      <c r="AK41" s="3">
        <f t="shared" si="53"/>
        <v>2.0897884259985142E-3</v>
      </c>
      <c r="AL41" s="3">
        <f t="shared" si="12"/>
        <v>3.9525350766919122E-4</v>
      </c>
      <c r="AM41" s="3">
        <f t="shared" si="13"/>
        <v>0.99752111819157485</v>
      </c>
      <c r="AN41" s="1">
        <f t="shared" si="14"/>
        <v>8.7283457962964925E-6</v>
      </c>
      <c r="AO41" s="3">
        <f t="shared" si="54"/>
        <v>2.085429048415707E-3</v>
      </c>
      <c r="AP41" s="3">
        <f t="shared" si="15"/>
        <v>3.9481794987068585E-4</v>
      </c>
      <c r="AQ41" s="3">
        <f t="shared" si="16"/>
        <v>0.99752588940708498</v>
      </c>
      <c r="AR41" s="14">
        <f t="shared" si="17"/>
        <v>4.881471581119623E-10</v>
      </c>
      <c r="AS41" s="3">
        <f t="shared" si="55"/>
        <v>2.085428804610314E-3</v>
      </c>
      <c r="AT41" s="3">
        <f t="shared" si="18"/>
        <v>3.9481792549938486E-4</v>
      </c>
      <c r="AU41" s="3">
        <f t="shared" si="19"/>
        <v>0.99752588967393641</v>
      </c>
      <c r="AV41" s="14">
        <f t="shared" si="20"/>
        <v>2.7017450776600782E-14</v>
      </c>
      <c r="AW41" s="3">
        <f t="shared" si="56"/>
        <v>2.08542880459682E-3</v>
      </c>
      <c r="AX41" s="3">
        <f t="shared" si="21"/>
        <v>3.9481792549803606E-4</v>
      </c>
      <c r="AY41" s="3">
        <f t="shared" si="22"/>
        <v>0.99752588967395128</v>
      </c>
      <c r="AZ41">
        <f t="shared" si="23"/>
        <v>0</v>
      </c>
      <c r="BA41" s="108">
        <f t="shared" si="24"/>
        <v>1.0844697081943614E-2</v>
      </c>
      <c r="BB41" s="3">
        <f t="shared" si="25"/>
        <v>-30.015609453107327</v>
      </c>
      <c r="BC41" s="3">
        <f t="shared" si="26"/>
        <v>40.010375322571349</v>
      </c>
      <c r="BD41" s="3">
        <f t="shared" si="70"/>
        <v>20.929823780363456</v>
      </c>
      <c r="BE41" s="14">
        <f t="shared" si="27"/>
        <v>4.6880107176767012E-5</v>
      </c>
      <c r="BF41" s="108">
        <f t="shared" si="28"/>
        <v>1.0844697081943614E-2</v>
      </c>
      <c r="BG41" s="3">
        <f t="shared" si="29"/>
        <v>2.08542880459682E-3</v>
      </c>
      <c r="BH41" s="3">
        <f t="shared" si="30"/>
        <v>3.9481792549803606E-4</v>
      </c>
      <c r="BI41" s="3">
        <f t="shared" si="31"/>
        <v>0.98927164863875772</v>
      </c>
      <c r="BJ41" s="3">
        <f t="shared" si="32"/>
        <v>0.99752588967395128</v>
      </c>
      <c r="BK41" s="14">
        <v>1</v>
      </c>
      <c r="BL41" s="108">
        <f t="shared" si="33"/>
        <v>1.0728351361242283E-2</v>
      </c>
      <c r="BM41" s="3">
        <f t="shared" si="34"/>
        <v>-30.015609453107327</v>
      </c>
      <c r="BN41" s="14">
        <f t="shared" si="71"/>
        <v>2.0802692236571276E-3</v>
      </c>
      <c r="BO41" s="108">
        <f t="shared" si="35"/>
        <v>40.010375322571349</v>
      </c>
      <c r="BP41" s="3">
        <f t="shared" si="36"/>
        <v>3.9384110239165226E-4</v>
      </c>
      <c r="BQ41" s="1">
        <f t="shared" si="37"/>
        <v>20.929823780363456</v>
      </c>
      <c r="BR41" s="1">
        <f t="shared" si="38"/>
        <v>0.9843825697877151</v>
      </c>
      <c r="BS41" s="3">
        <f t="shared" si="39"/>
        <v>1.1634332932939686E-2</v>
      </c>
      <c r="BT41" s="3">
        <f t="shared" si="40"/>
        <v>4.1795768519970302E-3</v>
      </c>
      <c r="BU41" s="14">
        <f t="shared" si="41"/>
        <v>4.6880107176767012E-5</v>
      </c>
      <c r="BV41" s="3">
        <f t="shared" si="42"/>
        <v>1.1634332932939685E-2</v>
      </c>
      <c r="BW41" s="3">
        <f t="shared" si="43"/>
        <v>4.1795768519970302E-3</v>
      </c>
      <c r="BX41" s="5">
        <f t="shared" si="44"/>
        <v>4.6880107176767005E-5</v>
      </c>
      <c r="BY41" s="82">
        <f t="shared" si="45"/>
        <v>-0.40292611511294485</v>
      </c>
      <c r="BZ41" s="8">
        <f t="shared" si="46"/>
        <v>10.158089082950239</v>
      </c>
      <c r="CA41" s="13">
        <f t="shared" si="47"/>
        <v>-30.015609453107327</v>
      </c>
      <c r="CB41" s="13">
        <f t="shared" si="48"/>
        <v>40.010375322571349</v>
      </c>
      <c r="CC41" s="12">
        <f t="shared" si="49"/>
        <v>20.929823780363456</v>
      </c>
      <c r="CD41">
        <f t="shared" si="50"/>
        <v>2.2204460492503131E-13</v>
      </c>
      <c r="CE41">
        <f t="shared" si="51"/>
        <v>-4.4408920985006262E-13</v>
      </c>
      <c r="CF41" s="85">
        <f t="shared" si="57"/>
        <v>-1.6235756332694251E-3</v>
      </c>
      <c r="CG41" s="333">
        <f t="shared" si="58"/>
        <v>-4.5194095316114513E-3</v>
      </c>
      <c r="CH41" s="10"/>
      <c r="CI41" s="13"/>
    </row>
    <row r="42" spans="2:87" x14ac:dyDescent="0.25">
      <c r="B42">
        <f>'datapoints-plots'!D30</f>
        <v>-30</v>
      </c>
      <c r="C42" s="14">
        <f>'datapoints-plots'!E30</f>
        <v>30</v>
      </c>
      <c r="D42" s="3">
        <f t="shared" si="72"/>
        <v>1.08448716E-2</v>
      </c>
      <c r="E42" s="3">
        <f t="shared" si="73"/>
        <v>2.065356E-3</v>
      </c>
      <c r="F42" s="36">
        <f t="shared" si="59"/>
        <v>3.9080856184556311E-4</v>
      </c>
      <c r="G42" s="3">
        <f t="shared" si="2"/>
        <v>0.98927147784522629</v>
      </c>
      <c r="H42" s="3">
        <f t="shared" si="3"/>
        <v>0.99754985340140134</v>
      </c>
      <c r="I42" s="1">
        <f t="shared" si="4"/>
        <v>1.0728522154773724E-2</v>
      </c>
      <c r="J42" s="14">
        <f t="shared" si="63"/>
        <v>-30.000000000000028</v>
      </c>
      <c r="K42" s="3">
        <f t="shared" si="5"/>
        <v>2.0602955750217045E-3</v>
      </c>
      <c r="L42" s="14">
        <f t="shared" si="64"/>
        <v>30.000000000000028</v>
      </c>
      <c r="M42" s="3">
        <f t="shared" si="74"/>
        <v>3.8985102357705397E-4</v>
      </c>
      <c r="N42" s="14">
        <f t="shared" si="6"/>
        <v>1.0000000000000002</v>
      </c>
      <c r="O42" s="108">
        <f t="shared" si="7"/>
        <v>4.5690350484716056E-5</v>
      </c>
      <c r="P42" s="3">
        <f t="shared" si="75"/>
        <v>0.98442965127544058</v>
      </c>
      <c r="Q42" s="3">
        <f t="shared" si="60"/>
        <v>1.1445437524079137E-2</v>
      </c>
      <c r="R42" s="3">
        <f t="shared" si="61"/>
        <v>4.0748452677779089E-3</v>
      </c>
      <c r="S42" s="108">
        <f t="shared" si="62"/>
        <v>4.571319565995841E-5</v>
      </c>
      <c r="T42" s="1">
        <f t="shared" si="76"/>
        <v>15750.87442040705</v>
      </c>
      <c r="U42" s="1">
        <f t="shared" si="77"/>
        <v>18312.700038526618</v>
      </c>
      <c r="V42" s="1">
        <f t="shared" si="78"/>
        <v>21732.507877490432</v>
      </c>
      <c r="W42" s="1">
        <f t="shared" si="79"/>
        <v>2438.0370774840776</v>
      </c>
      <c r="X42" s="1">
        <f t="shared" si="65"/>
        <v>1.1626465648662929</v>
      </c>
      <c r="Y42">
        <f t="shared" si="8"/>
        <v>1.3797651671537356</v>
      </c>
      <c r="Z42" s="11">
        <f t="shared" si="9"/>
        <v>0.15478741131510282</v>
      </c>
      <c r="AA42" s="17">
        <f t="shared" si="66"/>
        <v>0.9729462220336822</v>
      </c>
      <c r="AB42" s="17">
        <f t="shared" si="66"/>
        <v>1.0299139831790434</v>
      </c>
      <c r="AC42" s="17">
        <f t="shared" si="66"/>
        <v>1.0002670720795181</v>
      </c>
      <c r="AD42" s="19"/>
      <c r="AE42" s="19"/>
      <c r="AF42" s="19"/>
      <c r="AG42" s="18">
        <f t="shared" si="80"/>
        <v>1.1630334230600333E-2</v>
      </c>
      <c r="AH42" s="18">
        <f t="shared" si="80"/>
        <v>4.1394271064757859E-3</v>
      </c>
      <c r="AI42" s="18">
        <f t="shared" si="80"/>
        <v>4.6402373833177034E-5</v>
      </c>
      <c r="AJ42" s="3">
        <f t="shared" si="11"/>
        <v>30</v>
      </c>
      <c r="AK42" s="3">
        <f t="shared" si="53"/>
        <v>2.0697135532378929E-3</v>
      </c>
      <c r="AL42" s="3">
        <f t="shared" si="12"/>
        <v>3.9324419163004002E-4</v>
      </c>
      <c r="AM42" s="3">
        <f t="shared" si="13"/>
        <v>0.99754309351199499</v>
      </c>
      <c r="AN42" s="1">
        <f t="shared" si="14"/>
        <v>8.6831997830466578E-6</v>
      </c>
      <c r="AO42" s="3">
        <f t="shared" si="54"/>
        <v>2.0653767238586868E-3</v>
      </c>
      <c r="AP42" s="3">
        <f t="shared" si="15"/>
        <v>3.9280890707028468E-4</v>
      </c>
      <c r="AQ42" s="3">
        <f t="shared" si="16"/>
        <v>0.99754784222807058</v>
      </c>
      <c r="AR42" s="14">
        <f t="shared" si="17"/>
        <v>4.4248513533795553E-10</v>
      </c>
      <c r="AS42" s="3">
        <f t="shared" si="55"/>
        <v>2.0653765028592185E-3</v>
      </c>
      <c r="AT42" s="3">
        <f t="shared" si="18"/>
        <v>3.9280888487773432E-4</v>
      </c>
      <c r="AU42" s="3">
        <f t="shared" si="19"/>
        <v>0.99754784247007144</v>
      </c>
      <c r="AV42" s="14">
        <f t="shared" si="20"/>
        <v>2.2289461942825994E-14</v>
      </c>
      <c r="AW42" s="3">
        <f t="shared" si="56"/>
        <v>2.0653765028480859E-3</v>
      </c>
      <c r="AX42" s="3">
        <f t="shared" si="21"/>
        <v>3.9280888487661629E-4</v>
      </c>
      <c r="AY42" s="3">
        <f t="shared" si="22"/>
        <v>0.99754784247008388</v>
      </c>
      <c r="AZ42">
        <f t="shared" si="23"/>
        <v>0</v>
      </c>
      <c r="BA42" s="108">
        <f t="shared" si="24"/>
        <v>1.0844716460847101E-2</v>
      </c>
      <c r="BB42" s="3">
        <f t="shared" si="25"/>
        <v>-30.013876142001795</v>
      </c>
      <c r="BC42" s="3">
        <f t="shared" si="26"/>
        <v>30.010224839460477</v>
      </c>
      <c r="BD42" s="3">
        <f t="shared" si="70"/>
        <v>15.73479752868967</v>
      </c>
      <c r="BE42" s="14">
        <f t="shared" si="27"/>
        <v>4.6421114925388713E-5</v>
      </c>
      <c r="BF42" s="108">
        <f t="shared" si="28"/>
        <v>1.0844716460847101E-2</v>
      </c>
      <c r="BG42" s="3">
        <f t="shared" si="29"/>
        <v>2.0653765028480859E-3</v>
      </c>
      <c r="BH42" s="3">
        <f t="shared" si="30"/>
        <v>3.9280888487661629E-4</v>
      </c>
      <c r="BI42" s="3">
        <f t="shared" si="31"/>
        <v>0.98927162967343141</v>
      </c>
      <c r="BJ42" s="3">
        <f t="shared" si="32"/>
        <v>0.99754784247008388</v>
      </c>
      <c r="BK42" s="14">
        <v>1</v>
      </c>
      <c r="BL42" s="108">
        <f t="shared" si="33"/>
        <v>1.0728370326568499E-2</v>
      </c>
      <c r="BM42" s="3">
        <f t="shared" si="34"/>
        <v>-30.013876142001795</v>
      </c>
      <c r="BN42" s="14">
        <f t="shared" si="71"/>
        <v>2.0603118743045151E-3</v>
      </c>
      <c r="BO42" s="108">
        <f t="shared" si="35"/>
        <v>30.010224839460477</v>
      </c>
      <c r="BP42" s="3">
        <f t="shared" si="36"/>
        <v>3.9184565561174814E-4</v>
      </c>
      <c r="BQ42" s="1">
        <f t="shared" si="37"/>
        <v>15.73479752868967</v>
      </c>
      <c r="BR42" s="1">
        <f t="shared" si="38"/>
        <v>0.98442587848779872</v>
      </c>
      <c r="BS42" s="3">
        <f t="shared" si="39"/>
        <v>1.1630334230600333E-2</v>
      </c>
      <c r="BT42" s="3">
        <f t="shared" si="40"/>
        <v>4.1394271064757867E-3</v>
      </c>
      <c r="BU42" s="14">
        <f t="shared" si="41"/>
        <v>4.6421114925388713E-5</v>
      </c>
      <c r="BV42" s="3">
        <f t="shared" si="42"/>
        <v>1.1630334230600331E-2</v>
      </c>
      <c r="BW42" s="3">
        <f t="shared" si="43"/>
        <v>4.1394271064757859E-3</v>
      </c>
      <c r="BX42" s="5">
        <f t="shared" si="44"/>
        <v>4.6421114925388713E-5</v>
      </c>
      <c r="BY42" s="82">
        <f t="shared" si="45"/>
        <v>-0.40371913173131713</v>
      </c>
      <c r="BZ42" s="8">
        <f t="shared" si="46"/>
        <v>0.26707207951814915</v>
      </c>
      <c r="CA42" s="13">
        <f t="shared" si="47"/>
        <v>-30.013876142001795</v>
      </c>
      <c r="CB42" s="13">
        <f t="shared" si="48"/>
        <v>30.010224839460477</v>
      </c>
      <c r="CC42" s="12">
        <f t="shared" si="49"/>
        <v>15.73479752868967</v>
      </c>
      <c r="CD42">
        <f t="shared" si="50"/>
        <v>2.2204460492503131E-13</v>
      </c>
      <c r="CE42">
        <f t="shared" si="51"/>
        <v>0</v>
      </c>
      <c r="CF42" s="85">
        <f t="shared" si="57"/>
        <v>-1.6113975607190412E-3</v>
      </c>
      <c r="CG42" s="333">
        <f t="shared" si="58"/>
        <v>-4.5274603779343892E-3</v>
      </c>
      <c r="CH42" s="10"/>
      <c r="CI42" s="13"/>
    </row>
    <row r="43" spans="2:87" x14ac:dyDescent="0.25">
      <c r="B43">
        <f>'datapoints-plots'!D31</f>
        <v>-30</v>
      </c>
      <c r="C43" s="14">
        <f>'datapoints-plots'!E31</f>
        <v>20</v>
      </c>
      <c r="D43" s="3">
        <f t="shared" si="72"/>
        <v>1.08448716E-2</v>
      </c>
      <c r="E43" s="3">
        <f t="shared" si="73"/>
        <v>2.045304E-3</v>
      </c>
      <c r="F43" s="36">
        <f t="shared" si="59"/>
        <v>3.8880058144338234E-4</v>
      </c>
      <c r="G43" s="3">
        <f t="shared" si="2"/>
        <v>0.98927147784522629</v>
      </c>
      <c r="H43" s="3">
        <f t="shared" si="3"/>
        <v>0.99757180589694749</v>
      </c>
      <c r="I43" s="1">
        <f t="shared" si="4"/>
        <v>1.0728522154773724E-2</v>
      </c>
      <c r="J43" s="14">
        <f t="shared" si="63"/>
        <v>-30.000000000000028</v>
      </c>
      <c r="K43" s="3">
        <f t="shared" si="5"/>
        <v>2.0403376048882503E-3</v>
      </c>
      <c r="L43" s="14">
        <f t="shared" si="64"/>
        <v>20.000000000000018</v>
      </c>
      <c r="M43" s="3">
        <f t="shared" si="74"/>
        <v>3.8785649816425812E-4</v>
      </c>
      <c r="N43" s="14">
        <f t="shared" si="6"/>
        <v>1</v>
      </c>
      <c r="O43" s="108">
        <f t="shared" si="7"/>
        <v>4.5240659102255582E-5</v>
      </c>
      <c r="P43" s="3">
        <f t="shared" si="75"/>
        <v>0.98447297973084125</v>
      </c>
      <c r="Q43" s="3">
        <f t="shared" si="60"/>
        <v>1.144198789946951E-2</v>
      </c>
      <c r="R43" s="3">
        <f t="shared" si="61"/>
        <v>4.0354993384376751E-3</v>
      </c>
      <c r="S43" s="108">
        <f t="shared" si="62"/>
        <v>4.526327943180671E-5</v>
      </c>
      <c r="T43" s="1">
        <f t="shared" si="76"/>
        <v>15751.567675693461</v>
      </c>
      <c r="U43" s="1">
        <f t="shared" si="77"/>
        <v>18307.180639151215</v>
      </c>
      <c r="V43" s="1">
        <f t="shared" si="78"/>
        <v>21522.662923107633</v>
      </c>
      <c r="W43" s="1">
        <f t="shared" si="79"/>
        <v>2414.0415455559423</v>
      </c>
      <c r="X43" s="1">
        <f t="shared" si="65"/>
        <v>1.1622449914875055</v>
      </c>
      <c r="Y43">
        <f t="shared" si="8"/>
        <v>1.3663822780204702</v>
      </c>
      <c r="Z43" s="11">
        <f t="shared" si="9"/>
        <v>0.15325722463047886</v>
      </c>
      <c r="AA43" s="17">
        <f t="shared" si="66"/>
        <v>0.9726101703791491</v>
      </c>
      <c r="AB43" s="17">
        <f t="shared" si="66"/>
        <v>1.019924439319114</v>
      </c>
      <c r="AC43" s="17">
        <f t="shared" si="66"/>
        <v>0.9903787010436591</v>
      </c>
      <c r="AD43" s="19"/>
      <c r="AE43" s="19"/>
      <c r="AF43" s="19"/>
      <c r="AG43" s="18">
        <f t="shared" si="80"/>
        <v>1.1626317160620044E-2</v>
      </c>
      <c r="AH43" s="18">
        <f t="shared" si="80"/>
        <v>4.0992771625868001E-3</v>
      </c>
      <c r="AI43" s="18">
        <f t="shared" si="80"/>
        <v>4.594365245544221E-5</v>
      </c>
      <c r="AJ43" s="3">
        <f t="shared" si="11"/>
        <v>20</v>
      </c>
      <c r="AK43" s="3">
        <f t="shared" si="53"/>
        <v>2.0496385812934E-3</v>
      </c>
      <c r="AL43" s="3">
        <f t="shared" si="12"/>
        <v>3.912256454925504E-4</v>
      </c>
      <c r="AM43" s="3">
        <f t="shared" si="13"/>
        <v>0.99756507908457159</v>
      </c>
      <c r="AN43" s="1">
        <f t="shared" si="14"/>
        <v>8.6378543546561729E-6</v>
      </c>
      <c r="AO43" s="3">
        <f t="shared" si="54"/>
        <v>2.0453243997158072E-3</v>
      </c>
      <c r="AP43" s="3">
        <f t="shared" si="15"/>
        <v>3.9079063646103743E-4</v>
      </c>
      <c r="AQ43" s="3">
        <f t="shared" si="16"/>
        <v>0.99756980519792127</v>
      </c>
      <c r="AR43" s="14">
        <f t="shared" si="17"/>
        <v>3.9664597040883764E-10</v>
      </c>
      <c r="AS43" s="3">
        <f t="shared" si="55"/>
        <v>2.0453242016107375E-3</v>
      </c>
      <c r="AT43" s="3">
        <f t="shared" si="18"/>
        <v>3.9079061647570069E-4</v>
      </c>
      <c r="AU43" s="3">
        <f t="shared" si="19"/>
        <v>0.99756980541495299</v>
      </c>
      <c r="AV43" s="14">
        <f t="shared" si="20"/>
        <v>1.7980408828499606E-14</v>
      </c>
      <c r="AW43" s="3">
        <f t="shared" si="56"/>
        <v>2.0453242016017573E-3</v>
      </c>
      <c r="AX43" s="3">
        <f t="shared" si="21"/>
        <v>3.9079061647479473E-4</v>
      </c>
      <c r="AY43" s="3">
        <f t="shared" si="22"/>
        <v>0.99756980541496276</v>
      </c>
      <c r="AZ43">
        <f t="shared" si="23"/>
        <v>0</v>
      </c>
      <c r="BA43" s="108">
        <f t="shared" si="24"/>
        <v>1.0844735927670454E-2</v>
      </c>
      <c r="BB43" s="3">
        <f t="shared" si="25"/>
        <v>-30.012134967062231</v>
      </c>
      <c r="BC43" s="3">
        <f t="shared" si="26"/>
        <v>20.010074606900741</v>
      </c>
      <c r="BD43" s="3">
        <f t="shared" si="70"/>
        <v>10.515909857330863</v>
      </c>
      <c r="BE43" s="14">
        <f t="shared" si="27"/>
        <v>4.5962244895812801E-5</v>
      </c>
      <c r="BF43" s="108">
        <f t="shared" si="28"/>
        <v>1.0844735927670454E-2</v>
      </c>
      <c r="BG43" s="3">
        <f t="shared" si="29"/>
        <v>2.0453242016017573E-3</v>
      </c>
      <c r="BH43" s="3">
        <f t="shared" si="30"/>
        <v>3.9079061647479473E-4</v>
      </c>
      <c r="BI43" s="3">
        <f t="shared" si="31"/>
        <v>0.98927161062206248</v>
      </c>
      <c r="BJ43" s="3">
        <f t="shared" si="32"/>
        <v>0.99756980541496276</v>
      </c>
      <c r="BK43" s="14">
        <v>1</v>
      </c>
      <c r="BL43" s="108">
        <f t="shared" si="33"/>
        <v>1.0728389377937497E-2</v>
      </c>
      <c r="BM43" s="3">
        <f t="shared" si="34"/>
        <v>-30.012134967062231</v>
      </c>
      <c r="BN43" s="14">
        <f t="shared" si="71"/>
        <v>2.0403536658023789E-3</v>
      </c>
      <c r="BO43" s="108">
        <f t="shared" si="35"/>
        <v>20.010074606900741</v>
      </c>
      <c r="BP43" s="3">
        <f t="shared" si="36"/>
        <v>3.8984091923475431E-4</v>
      </c>
      <c r="BQ43" s="1">
        <f t="shared" si="37"/>
        <v>10.515909857330863</v>
      </c>
      <c r="BR43" s="1">
        <f t="shared" si="38"/>
        <v>0.98446920808504157</v>
      </c>
      <c r="BS43" s="3">
        <f t="shared" si="39"/>
        <v>1.1626317160620044E-2</v>
      </c>
      <c r="BT43" s="3">
        <f t="shared" si="40"/>
        <v>4.0992771625868001E-3</v>
      </c>
      <c r="BU43" s="14">
        <f t="shared" si="41"/>
        <v>4.5962244895812801E-5</v>
      </c>
      <c r="BV43" s="3">
        <f t="shared" si="42"/>
        <v>1.1626317160620042E-2</v>
      </c>
      <c r="BW43" s="3">
        <f t="shared" si="43"/>
        <v>4.0992771625868001E-3</v>
      </c>
      <c r="BX43" s="5">
        <f t="shared" si="44"/>
        <v>4.5962244895812794E-5</v>
      </c>
      <c r="BY43" s="82">
        <f t="shared" si="45"/>
        <v>-0.40451549772491102</v>
      </c>
      <c r="BZ43" s="8">
        <f t="shared" si="46"/>
        <v>-9.6212989563408957</v>
      </c>
      <c r="CA43" s="13">
        <f t="shared" si="47"/>
        <v>-30.012134967062231</v>
      </c>
      <c r="CB43" s="13">
        <f t="shared" si="48"/>
        <v>20.010074606900741</v>
      </c>
      <c r="CC43" s="12">
        <f t="shared" si="49"/>
        <v>10.515909857330863</v>
      </c>
      <c r="CD43">
        <f t="shared" si="50"/>
        <v>2.2204460492503131E-13</v>
      </c>
      <c r="CE43">
        <f t="shared" si="51"/>
        <v>0</v>
      </c>
      <c r="CF43" s="85">
        <f t="shared" si="57"/>
        <v>-1.5991685167193737E-3</v>
      </c>
      <c r="CG43" s="333">
        <f t="shared" si="58"/>
        <v>-4.5355411778524868E-3</v>
      </c>
      <c r="CH43" s="10"/>
      <c r="CI43" s="13"/>
    </row>
    <row r="44" spans="2:87" x14ac:dyDescent="0.25">
      <c r="B44">
        <f>'datapoints-plots'!D32</f>
        <v>-30</v>
      </c>
      <c r="C44" s="14">
        <f>'datapoints-plots'!E32</f>
        <v>10</v>
      </c>
      <c r="D44" s="3">
        <f t="shared" si="72"/>
        <v>1.08448716E-2</v>
      </c>
      <c r="E44" s="3">
        <f t="shared" si="73"/>
        <v>2.025252E-3</v>
      </c>
      <c r="F44" s="36">
        <f t="shared" si="59"/>
        <v>3.8678328749353459E-4</v>
      </c>
      <c r="G44" s="3">
        <f t="shared" si="2"/>
        <v>0.98927147784522629</v>
      </c>
      <c r="H44" s="3">
        <f t="shared" si="3"/>
        <v>0.99759376862748694</v>
      </c>
      <c r="I44" s="1">
        <f t="shared" si="4"/>
        <v>1.0728522154773724E-2</v>
      </c>
      <c r="J44" s="14">
        <f t="shared" si="63"/>
        <v>-30.000000000000028</v>
      </c>
      <c r="K44" s="3">
        <f t="shared" si="5"/>
        <v>2.0203787751003552E-3</v>
      </c>
      <c r="L44" s="14">
        <f t="shared" si="64"/>
        <v>10.000000000000009</v>
      </c>
      <c r="M44" s="3">
        <f t="shared" si="74"/>
        <v>3.8585259741280391E-4</v>
      </c>
      <c r="N44" s="14">
        <f t="shared" si="6"/>
        <v>1</v>
      </c>
      <c r="O44" s="108">
        <f t="shared" si="7"/>
        <v>4.4791050353254598E-5</v>
      </c>
      <c r="P44" s="3">
        <f t="shared" si="75"/>
        <v>0.98451632934130984</v>
      </c>
      <c r="Q44" s="3">
        <f t="shared" si="60"/>
        <v>1.1438519833938326E-2</v>
      </c>
      <c r="R44" s="3">
        <f t="shared" si="61"/>
        <v>3.9961498176875783E-3</v>
      </c>
      <c r="S44" s="108">
        <f t="shared" si="62"/>
        <v>4.4813445878431222E-5</v>
      </c>
      <c r="T44" s="1">
        <f t="shared" si="76"/>
        <v>15752.261269460958</v>
      </c>
      <c r="U44" s="1">
        <f t="shared" si="77"/>
        <v>18301.631734301322</v>
      </c>
      <c r="V44" s="1">
        <f t="shared" si="78"/>
        <v>21312.798814539095</v>
      </c>
      <c r="W44" s="1">
        <f t="shared" si="79"/>
        <v>2390.0504229491607</v>
      </c>
      <c r="X44" s="1">
        <f t="shared" si="65"/>
        <v>1.1618415553951513</v>
      </c>
      <c r="Y44">
        <f t="shared" si="8"/>
        <v>1.3529993218090153</v>
      </c>
      <c r="Z44" s="11">
        <f t="shared" si="9"/>
        <v>0.15172744928899648</v>
      </c>
      <c r="AA44" s="17">
        <f t="shared" si="66"/>
        <v>0.97227255993608797</v>
      </c>
      <c r="AB44" s="17">
        <f t="shared" si="66"/>
        <v>1.0099348453892403</v>
      </c>
      <c r="AC44" s="17">
        <f t="shared" si="66"/>
        <v>0.98049298818908459</v>
      </c>
      <c r="AD44" s="19"/>
      <c r="AE44" s="19"/>
      <c r="AF44" s="19"/>
      <c r="AG44" s="18">
        <f t="shared" si="80"/>
        <v>1.162228145730611E-2</v>
      </c>
      <c r="AH44" s="18">
        <f t="shared" si="80"/>
        <v>4.0591270174568485E-3</v>
      </c>
      <c r="AI44" s="18">
        <f t="shared" si="80"/>
        <v>4.5485054390695617E-5</v>
      </c>
      <c r="AJ44" s="3">
        <f t="shared" si="11"/>
        <v>10</v>
      </c>
      <c r="AK44" s="3">
        <f t="shared" si="53"/>
        <v>2.0295635087284243E-3</v>
      </c>
      <c r="AL44" s="3">
        <f t="shared" si="12"/>
        <v>3.8919773573084933E-4</v>
      </c>
      <c r="AM44" s="3">
        <f t="shared" si="13"/>
        <v>0.99758707504490785</v>
      </c>
      <c r="AN44" s="1">
        <f t="shared" si="14"/>
        <v>8.5923066219266084E-6</v>
      </c>
      <c r="AO44" s="3">
        <f t="shared" si="54"/>
        <v>2.0252720759934696E-3</v>
      </c>
      <c r="AP44" s="3">
        <f t="shared" si="15"/>
        <v>3.8876300455993303E-4</v>
      </c>
      <c r="AQ44" s="3">
        <f t="shared" si="16"/>
        <v>0.9975917784507482</v>
      </c>
      <c r="AR44" s="14">
        <f t="shared" si="17"/>
        <v>3.5062731450902218E-10</v>
      </c>
      <c r="AS44" s="3">
        <f t="shared" si="55"/>
        <v>2.0252719008724456E-3</v>
      </c>
      <c r="AT44" s="3">
        <f t="shared" si="18"/>
        <v>3.8876298681093778E-4</v>
      </c>
      <c r="AU44" s="3">
        <f t="shared" si="19"/>
        <v>0.99759177864269044</v>
      </c>
      <c r="AV44" s="14">
        <f t="shared" si="20"/>
        <v>1.4099832412739488E-14</v>
      </c>
      <c r="AW44" s="3">
        <f t="shared" si="56"/>
        <v>2.0252719008654035E-3</v>
      </c>
      <c r="AX44" s="3">
        <f t="shared" si="21"/>
        <v>3.8876298681022394E-4</v>
      </c>
      <c r="AY44" s="3">
        <f t="shared" si="22"/>
        <v>0.99759177864269821</v>
      </c>
      <c r="AZ44">
        <f t="shared" si="23"/>
        <v>0</v>
      </c>
      <c r="BA44" s="108">
        <f t="shared" si="24"/>
        <v>1.0844755483685662E-2</v>
      </c>
      <c r="BB44" s="3">
        <f t="shared" si="25"/>
        <v>-30.010385814517981</v>
      </c>
      <c r="BC44" s="3">
        <f t="shared" si="26"/>
        <v>10.009924628667122</v>
      </c>
      <c r="BD44" s="3">
        <f t="shared" si="70"/>
        <v>5.2728156043766461</v>
      </c>
      <c r="BE44" s="14">
        <f t="shared" si="27"/>
        <v>4.5503497652417032E-5</v>
      </c>
      <c r="BF44" s="108">
        <f t="shared" si="28"/>
        <v>1.0844755483685662E-2</v>
      </c>
      <c r="BG44" s="3">
        <f t="shared" si="29"/>
        <v>2.0252719008654035E-3</v>
      </c>
      <c r="BH44" s="3">
        <f t="shared" si="30"/>
        <v>3.8876298681022394E-4</v>
      </c>
      <c r="BI44" s="3">
        <f t="shared" si="31"/>
        <v>0.98927159148340582</v>
      </c>
      <c r="BJ44" s="3">
        <f t="shared" si="32"/>
        <v>0.99759177864269821</v>
      </c>
      <c r="BK44" s="14">
        <v>1</v>
      </c>
      <c r="BL44" s="108">
        <f t="shared" si="33"/>
        <v>1.0728408516594108E-2</v>
      </c>
      <c r="BM44" s="3">
        <f t="shared" si="34"/>
        <v>-30.010385814517981</v>
      </c>
      <c r="BN44" s="14">
        <f t="shared" si="71"/>
        <v>2.0203945978193964E-3</v>
      </c>
      <c r="BO44" s="108">
        <f t="shared" si="35"/>
        <v>10.009924628667122</v>
      </c>
      <c r="BP44" s="3">
        <f t="shared" si="36"/>
        <v>3.878267594824591E-4</v>
      </c>
      <c r="BQ44" s="1">
        <f t="shared" si="37"/>
        <v>5.2728156043766461</v>
      </c>
      <c r="BR44" s="1">
        <f t="shared" si="38"/>
        <v>0.98451255884421884</v>
      </c>
      <c r="BS44" s="3">
        <f t="shared" si="39"/>
        <v>1.162228145730611E-2</v>
      </c>
      <c r="BT44" s="3">
        <f t="shared" si="40"/>
        <v>4.0591270174568494E-3</v>
      </c>
      <c r="BU44" s="14">
        <f t="shared" si="41"/>
        <v>4.5503497652417032E-5</v>
      </c>
      <c r="BV44" s="3">
        <f t="shared" si="42"/>
        <v>1.162228145730611E-2</v>
      </c>
      <c r="BW44" s="3">
        <f t="shared" si="43"/>
        <v>4.0591270174568494E-3</v>
      </c>
      <c r="BX44" s="5">
        <f t="shared" si="44"/>
        <v>4.5503497652417032E-5</v>
      </c>
      <c r="BY44" s="82">
        <f t="shared" si="45"/>
        <v>-0.40531525427556225</v>
      </c>
      <c r="BZ44" s="8">
        <f t="shared" si="46"/>
        <v>-19.507011810915408</v>
      </c>
      <c r="CA44" s="13">
        <f t="shared" si="47"/>
        <v>-30.010385814517981</v>
      </c>
      <c r="CB44" s="13">
        <f t="shared" si="48"/>
        <v>10.009924628667122</v>
      </c>
      <c r="CC44" s="12">
        <f t="shared" si="49"/>
        <v>5.2728156043766461</v>
      </c>
      <c r="CD44">
        <f t="shared" si="50"/>
        <v>0</v>
      </c>
      <c r="CE44">
        <f t="shared" si="51"/>
        <v>-2.2204460492503131E-13</v>
      </c>
      <c r="CF44" s="85">
        <f t="shared" si="57"/>
        <v>-1.5868882361491643E-3</v>
      </c>
      <c r="CG44" s="333">
        <f t="shared" si="58"/>
        <v>-4.5436522787545286E-3</v>
      </c>
      <c r="CH44" s="10"/>
      <c r="CI44" s="13"/>
    </row>
    <row r="45" spans="2:87" x14ac:dyDescent="0.25">
      <c r="B45">
        <f>'datapoints-plots'!D33</f>
        <v>-30</v>
      </c>
      <c r="C45" s="14">
        <f>'datapoints-plots'!E33</f>
        <v>0</v>
      </c>
      <c r="D45" s="3">
        <f t="shared" si="72"/>
        <v>1.08448716E-2</v>
      </c>
      <c r="E45" s="3">
        <f t="shared" si="73"/>
        <v>2.0052E-3</v>
      </c>
      <c r="F45" s="36">
        <f t="shared" si="59"/>
        <v>3.8475654393587772E-4</v>
      </c>
      <c r="G45" s="3">
        <f t="shared" si="2"/>
        <v>0.98927147784522629</v>
      </c>
      <c r="H45" s="3">
        <f t="shared" si="3"/>
        <v>0.99761574172971967</v>
      </c>
      <c r="I45" s="1">
        <f t="shared" si="4"/>
        <v>1.0728522154773724E-2</v>
      </c>
      <c r="J45" s="14">
        <f t="shared" si="63"/>
        <v>-30.000000000000028</v>
      </c>
      <c r="K45" s="3">
        <f t="shared" si="5"/>
        <v>2.0004190853164338E-3</v>
      </c>
      <c r="L45" s="14">
        <f t="shared" si="64"/>
        <v>0</v>
      </c>
      <c r="M45" s="3">
        <f t="shared" si="74"/>
        <v>3.8383918496395411E-4</v>
      </c>
      <c r="N45" s="14">
        <f t="shared" si="6"/>
        <v>1</v>
      </c>
      <c r="O45" s="108">
        <f t="shared" si="7"/>
        <v>4.4341524802938981E-5</v>
      </c>
      <c r="P45" s="3">
        <f t="shared" si="75"/>
        <v>0.98455970037800211</v>
      </c>
      <c r="Q45" s="3">
        <f t="shared" si="60"/>
        <v>1.1435033060037479E-2</v>
      </c>
      <c r="R45" s="3">
        <f t="shared" si="61"/>
        <v>3.9567967011449158E-3</v>
      </c>
      <c r="S45" s="108">
        <f t="shared" si="62"/>
        <v>4.4363695565340448E-5</v>
      </c>
      <c r="T45" s="1">
        <f t="shared" si="76"/>
        <v>15752.955206048035</v>
      </c>
      <c r="U45" s="1">
        <f t="shared" si="77"/>
        <v>18296.052896059966</v>
      </c>
      <c r="V45" s="1">
        <f t="shared" si="78"/>
        <v>21102.915528410391</v>
      </c>
      <c r="W45" s="1">
        <f t="shared" si="79"/>
        <v>2366.0637398241861</v>
      </c>
      <c r="X45" s="1">
        <f t="shared" si="65"/>
        <v>1.1614362293771749</v>
      </c>
      <c r="Y45">
        <f t="shared" si="8"/>
        <v>1.3396162975381498</v>
      </c>
      <c r="Z45" s="11">
        <f t="shared" si="9"/>
        <v>0.15019808720815653</v>
      </c>
      <c r="AA45" s="17">
        <f t="shared" si="66"/>
        <v>0.97193336793243079</v>
      </c>
      <c r="AB45" s="17">
        <f t="shared" si="66"/>
        <v>0.99994520065699777</v>
      </c>
      <c r="AC45" s="17">
        <f t="shared" si="66"/>
        <v>0.97060994590706695</v>
      </c>
      <c r="AD45" s="19"/>
      <c r="AE45" s="19"/>
      <c r="AF45" s="19"/>
      <c r="AG45" s="18">
        <f t="shared" si="80"/>
        <v>1.1618226848447426E-2</v>
      </c>
      <c r="AH45" s="18">
        <f t="shared" si="80"/>
        <v>4.0189766681421723E-3</v>
      </c>
      <c r="AI45" s="18">
        <f t="shared" si="80"/>
        <v>4.5026580213768177E-5</v>
      </c>
      <c r="AJ45" s="3">
        <f t="shared" si="11"/>
        <v>0</v>
      </c>
      <c r="AK45" s="3">
        <f t="shared" si="53"/>
        <v>2.0094883340710861E-3</v>
      </c>
      <c r="AL45" s="3">
        <f t="shared" si="12"/>
        <v>3.8716032554299528E-4</v>
      </c>
      <c r="AM45" s="3">
        <f t="shared" si="13"/>
        <v>0.99760908153192762</v>
      </c>
      <c r="AN45" s="1">
        <f t="shared" si="14"/>
        <v>8.5465536247310292E-6</v>
      </c>
      <c r="AO45" s="3">
        <f t="shared" si="54"/>
        <v>2.0052197526982309E-3</v>
      </c>
      <c r="AP45" s="3">
        <f t="shared" si="15"/>
        <v>3.8672587460913206E-4</v>
      </c>
      <c r="AQ45" s="3">
        <f t="shared" si="16"/>
        <v>0.99761376212394592</v>
      </c>
      <c r="AR45" s="14">
        <f t="shared" si="17"/>
        <v>3.0442675897496274E-10</v>
      </c>
      <c r="AS45" s="3">
        <f t="shared" si="55"/>
        <v>2.0052196006521022E-3</v>
      </c>
      <c r="AT45" s="3">
        <f t="shared" si="18"/>
        <v>3.8672585912629472E-4</v>
      </c>
      <c r="AU45" s="3">
        <f t="shared" si="19"/>
        <v>0.99761376229067622</v>
      </c>
      <c r="AV45" s="14">
        <f t="shared" si="20"/>
        <v>1.0661610483353456E-14</v>
      </c>
      <c r="AW45" s="3">
        <f t="shared" si="56"/>
        <v>2.0052196006467775E-3</v>
      </c>
      <c r="AX45" s="3">
        <f t="shared" si="21"/>
        <v>3.8672585912575256E-4</v>
      </c>
      <c r="AY45" s="3">
        <f t="shared" si="22"/>
        <v>0.99761376229068222</v>
      </c>
      <c r="AZ45">
        <f t="shared" si="23"/>
        <v>0</v>
      </c>
      <c r="BA45" s="108">
        <f t="shared" si="24"/>
        <v>1.0844775130195921E-2</v>
      </c>
      <c r="BB45" s="3">
        <f t="shared" si="25"/>
        <v>-30.008628567806838</v>
      </c>
      <c r="BC45" s="3">
        <f t="shared" si="26"/>
        <v>9.7749086263032581E-3</v>
      </c>
      <c r="BD45" s="3">
        <f t="shared" si="70"/>
        <v>5.1611398483863979E-3</v>
      </c>
      <c r="BE45" s="14">
        <f t="shared" si="27"/>
        <v>4.5044873767785472E-5</v>
      </c>
      <c r="BF45" s="108">
        <f t="shared" si="28"/>
        <v>1.0844775130195921E-2</v>
      </c>
      <c r="BG45" s="3">
        <f t="shared" si="29"/>
        <v>2.0052196006467775E-3</v>
      </c>
      <c r="BH45" s="3">
        <f t="shared" si="30"/>
        <v>3.8672585912575256E-4</v>
      </c>
      <c r="BI45" s="3">
        <f t="shared" si="31"/>
        <v>0.98927157225618634</v>
      </c>
      <c r="BJ45" s="3">
        <f t="shared" si="32"/>
        <v>0.99761376229068222</v>
      </c>
      <c r="BK45" s="14">
        <v>1</v>
      </c>
      <c r="BL45" s="108">
        <f t="shared" si="33"/>
        <v>1.0728427743813707E-2</v>
      </c>
      <c r="BM45" s="3">
        <f t="shared" si="34"/>
        <v>-30.008628567806838</v>
      </c>
      <c r="BN45" s="14">
        <f t="shared" si="71"/>
        <v>2.0004346700202508E-3</v>
      </c>
      <c r="BO45" s="108">
        <f t="shared" si="35"/>
        <v>9.7749086263032581E-3</v>
      </c>
      <c r="BP45" s="3">
        <f t="shared" si="36"/>
        <v>3.8580303929753836E-4</v>
      </c>
      <c r="BQ45" s="1">
        <f t="shared" si="37"/>
        <v>5.1611398483863979E-3</v>
      </c>
      <c r="BR45" s="1">
        <f t="shared" si="38"/>
        <v>0.98455593103657746</v>
      </c>
      <c r="BS45" s="3">
        <f t="shared" si="39"/>
        <v>1.1618226848447426E-2</v>
      </c>
      <c r="BT45" s="3">
        <f t="shared" si="40"/>
        <v>4.0189766681421723E-3</v>
      </c>
      <c r="BU45" s="14">
        <f t="shared" si="41"/>
        <v>4.5044873767785472E-5</v>
      </c>
      <c r="BV45" s="3">
        <f t="shared" si="42"/>
        <v>1.1618226848447429E-2</v>
      </c>
      <c r="BW45" s="3">
        <f t="shared" si="43"/>
        <v>4.0189766681421723E-3</v>
      </c>
      <c r="BX45" s="5">
        <f t="shared" si="44"/>
        <v>4.5044873767785472E-5</v>
      </c>
      <c r="BY45" s="82">
        <f t="shared" si="45"/>
        <v>-0.40611844339055736</v>
      </c>
      <c r="BZ45" s="8">
        <f t="shared" si="46"/>
        <v>-29.390054092933049</v>
      </c>
      <c r="CA45" s="13">
        <f t="shared" si="47"/>
        <v>-30.008628567806838</v>
      </c>
      <c r="CB45" s="13">
        <f t="shared" si="48"/>
        <v>9.7749086263032581E-3</v>
      </c>
      <c r="CC45" s="12">
        <f t="shared" si="49"/>
        <v>5.1611398483863979E-3</v>
      </c>
      <c r="CD45">
        <f t="shared" si="50"/>
        <v>-3.3306690738754696E-13</v>
      </c>
      <c r="CE45">
        <f t="shared" si="51"/>
        <v>0</v>
      </c>
      <c r="CF45" s="85">
        <f t="shared" si="57"/>
        <v>-1.5745564498903519E-3</v>
      </c>
      <c r="CG45" s="333">
        <f t="shared" si="58"/>
        <v>-4.5517940330253026E-3</v>
      </c>
      <c r="CH45" s="10"/>
      <c r="CI45" s="13"/>
    </row>
    <row r="46" spans="2:87" x14ac:dyDescent="0.25">
      <c r="B46">
        <f>'datapoints-plots'!D34</f>
        <v>-40</v>
      </c>
      <c r="C46" s="14">
        <f>'datapoints-plots'!E34</f>
        <v>50</v>
      </c>
      <c r="D46" s="3">
        <f t="shared" si="72"/>
        <v>1.07330688E-2</v>
      </c>
      <c r="E46" s="3">
        <f t="shared" si="73"/>
        <v>2.10546E-3</v>
      </c>
      <c r="F46" s="36">
        <f t="shared" si="59"/>
        <v>3.9479711006544413E-4</v>
      </c>
      <c r="G46" s="3">
        <f t="shared" si="2"/>
        <v>0.98938090665941802</v>
      </c>
      <c r="H46" s="3">
        <f t="shared" si="3"/>
        <v>0.9975059785847108</v>
      </c>
      <c r="I46" s="1">
        <f t="shared" si="4"/>
        <v>1.0619093340581913E-2</v>
      </c>
      <c r="J46" s="14">
        <f t="shared" si="63"/>
        <v>-40.000000000000036</v>
      </c>
      <c r="K46" s="3">
        <f t="shared" si="5"/>
        <v>2.1002089376709653E-3</v>
      </c>
      <c r="L46" s="14">
        <f t="shared" si="64"/>
        <v>50.000000000000043</v>
      </c>
      <c r="M46" s="3">
        <f t="shared" si="74"/>
        <v>3.9381247761824661E-4</v>
      </c>
      <c r="N46" s="14">
        <f t="shared" si="6"/>
        <v>1</v>
      </c>
      <c r="O46" s="108">
        <f t="shared" si="7"/>
        <v>4.6131642594198829E-5</v>
      </c>
      <c r="P46" s="3">
        <f t="shared" si="75"/>
        <v>0.98445194088385291</v>
      </c>
      <c r="Q46" s="3">
        <f t="shared" si="60"/>
        <v>1.1343485041382344E-2</v>
      </c>
      <c r="R46" s="3">
        <f t="shared" si="61"/>
        <v>4.1538993611498088E-3</v>
      </c>
      <c r="S46" s="108">
        <f t="shared" si="62"/>
        <v>4.6154708415495928E-5</v>
      </c>
      <c r="T46" s="1">
        <f t="shared" si="76"/>
        <v>15751.231054141646</v>
      </c>
      <c r="U46" s="1">
        <f t="shared" si="77"/>
        <v>18149.57606621175</v>
      </c>
      <c r="V46" s="1">
        <f t="shared" si="78"/>
        <v>22154.129704591014</v>
      </c>
      <c r="W46" s="1">
        <f t="shared" si="79"/>
        <v>2461.5844242106045</v>
      </c>
      <c r="X46" s="1">
        <f t="shared" si="65"/>
        <v>1.1522639725000721</v>
      </c>
      <c r="Y46">
        <f t="shared" si="8"/>
        <v>1.4065014746111404</v>
      </c>
      <c r="Z46" s="11">
        <f t="shared" si="9"/>
        <v>0.1562788594586296</v>
      </c>
      <c r="AA46" s="17">
        <f t="shared" si="66"/>
        <v>0.96425767959706299</v>
      </c>
      <c r="AB46" s="17">
        <f t="shared" si="66"/>
        <v>1.0498710726638854</v>
      </c>
      <c r="AC46" s="17">
        <f t="shared" si="66"/>
        <v>1.0099051069494664</v>
      </c>
      <c r="AD46" s="19"/>
      <c r="AE46" s="19"/>
      <c r="AF46" s="19"/>
      <c r="AG46" s="18">
        <f t="shared" si="80"/>
        <v>1.1526473759973892E-2</v>
      </c>
      <c r="AH46" s="18">
        <f t="shared" si="80"/>
        <v>4.2196385790153881E-3</v>
      </c>
      <c r="AI46" s="18">
        <f t="shared" si="80"/>
        <v>4.6849482120089611E-5</v>
      </c>
      <c r="AJ46" s="3">
        <f t="shared" si="11"/>
        <v>50</v>
      </c>
      <c r="AK46" s="3">
        <f t="shared" si="53"/>
        <v>2.1098192895076941E-3</v>
      </c>
      <c r="AL46" s="3">
        <f t="shared" si="12"/>
        <v>3.9724935853207183E-4</v>
      </c>
      <c r="AM46" s="3">
        <f t="shared" si="13"/>
        <v>0.99749920102666134</v>
      </c>
      <c r="AN46" s="1">
        <f t="shared" si="14"/>
        <v>8.6843474560102663E-6</v>
      </c>
      <c r="AO46" s="3">
        <f t="shared" si="54"/>
        <v>2.1054818869225326E-3</v>
      </c>
      <c r="AP46" s="3">
        <f t="shared" si="15"/>
        <v>3.9681794628289378E-4</v>
      </c>
      <c r="AQ46" s="3">
        <f t="shared" si="16"/>
        <v>0.99750394604219672</v>
      </c>
      <c r="AR46" s="14">
        <f t="shared" si="17"/>
        <v>6.2467283342554358E-10</v>
      </c>
      <c r="AS46" s="3">
        <f t="shared" si="55"/>
        <v>2.1054815749293083E-3</v>
      </c>
      <c r="AT46" s="3">
        <f t="shared" si="18"/>
        <v>3.9681791523594703E-4</v>
      </c>
      <c r="AU46" s="3">
        <f t="shared" si="19"/>
        <v>0.99750394638352657</v>
      </c>
      <c r="AV46" s="14">
        <f t="shared" si="20"/>
        <v>4.4581525970865954E-14</v>
      </c>
      <c r="AW46" s="3">
        <f t="shared" si="56"/>
        <v>2.1054815749070419E-3</v>
      </c>
      <c r="AX46" s="3">
        <f t="shared" si="21"/>
        <v>3.9681791523373119E-4</v>
      </c>
      <c r="AY46" s="3">
        <f t="shared" si="22"/>
        <v>0.99750394638355089</v>
      </c>
      <c r="AZ46">
        <f t="shared" si="23"/>
        <v>0</v>
      </c>
      <c r="BA46" s="108">
        <f t="shared" si="24"/>
        <v>1.0732837929506429E-2</v>
      </c>
      <c r="BB46" s="3">
        <f t="shared" si="25"/>
        <v>-40.02064979531572</v>
      </c>
      <c r="BC46" s="3">
        <f t="shared" si="26"/>
        <v>50.010759478875897</v>
      </c>
      <c r="BD46" s="3">
        <f t="shared" si="70"/>
        <v>26.101446030923903</v>
      </c>
      <c r="BE46" s="14">
        <f t="shared" si="27"/>
        <v>4.6868260672819517E-5</v>
      </c>
      <c r="BF46" s="108">
        <f t="shared" si="28"/>
        <v>1.0732837929506429E-2</v>
      </c>
      <c r="BG46" s="3">
        <f t="shared" si="29"/>
        <v>2.1054815749070419E-3</v>
      </c>
      <c r="BH46" s="3">
        <f t="shared" si="30"/>
        <v>3.9681791523373119E-4</v>
      </c>
      <c r="BI46" s="3">
        <f t="shared" si="31"/>
        <v>0.98938113265272676</v>
      </c>
      <c r="BJ46" s="3">
        <f t="shared" si="32"/>
        <v>0.99750394638355089</v>
      </c>
      <c r="BK46" s="14">
        <v>1</v>
      </c>
      <c r="BL46" s="108">
        <f t="shared" si="33"/>
        <v>1.0618867347273218E-2</v>
      </c>
      <c r="BM46" s="3">
        <f t="shared" si="34"/>
        <v>-40.02064979531572</v>
      </c>
      <c r="BN46" s="14">
        <f t="shared" si="71"/>
        <v>2.1002261800076283E-3</v>
      </c>
      <c r="BO46" s="108">
        <f t="shared" si="35"/>
        <v>50.010759478875897</v>
      </c>
      <c r="BP46" s="3">
        <f t="shared" si="36"/>
        <v>3.9582743644134022E-4</v>
      </c>
      <c r="BQ46" s="1">
        <f t="shared" si="37"/>
        <v>26.101446030923903</v>
      </c>
      <c r="BR46" s="1">
        <f t="shared" si="38"/>
        <v>0.98444820006941858</v>
      </c>
      <c r="BS46" s="3">
        <f t="shared" si="39"/>
        <v>1.1526473759973892E-2</v>
      </c>
      <c r="BT46" s="3">
        <f t="shared" si="40"/>
        <v>4.2196385790153907E-3</v>
      </c>
      <c r="BU46" s="14">
        <f t="shared" si="41"/>
        <v>4.6868260672819517E-5</v>
      </c>
      <c r="BV46" s="3">
        <f t="shared" si="42"/>
        <v>1.1526473759973892E-2</v>
      </c>
      <c r="BW46" s="3">
        <f t="shared" si="43"/>
        <v>4.2196385790153898E-3</v>
      </c>
      <c r="BX46" s="5">
        <f t="shared" si="44"/>
        <v>4.6868260672819517E-5</v>
      </c>
      <c r="BY46" s="82">
        <f t="shared" si="45"/>
        <v>-0.40066672968719352</v>
      </c>
      <c r="BZ46" s="8">
        <f t="shared" si="46"/>
        <v>9.9051069494664468</v>
      </c>
      <c r="CA46" s="13">
        <f t="shared" si="47"/>
        <v>-40.02064979531572</v>
      </c>
      <c r="CB46" s="13">
        <f t="shared" si="48"/>
        <v>50.010759478875897</v>
      </c>
      <c r="CC46" s="12">
        <f t="shared" si="49"/>
        <v>26.101446030923903</v>
      </c>
      <c r="CD46">
        <f t="shared" si="50"/>
        <v>0</v>
      </c>
      <c r="CE46">
        <f t="shared" si="51"/>
        <v>-4.4408920985006262E-13</v>
      </c>
      <c r="CF46" s="85">
        <f t="shared" si="57"/>
        <v>-1.6291671781631933E-3</v>
      </c>
      <c r="CG46" s="333">
        <f t="shared" si="58"/>
        <v>-4.4502751551656061E-3</v>
      </c>
      <c r="CH46" s="10"/>
      <c r="CI46" s="13"/>
    </row>
    <row r="47" spans="2:87" x14ac:dyDescent="0.25">
      <c r="B47">
        <f>'datapoints-plots'!D35</f>
        <v>-40</v>
      </c>
      <c r="C47" s="14">
        <f>'datapoints-plots'!E35</f>
        <v>40</v>
      </c>
      <c r="D47" s="3">
        <f t="shared" si="72"/>
        <v>1.07330688E-2</v>
      </c>
      <c r="E47" s="3">
        <f t="shared" si="73"/>
        <v>2.085408E-3</v>
      </c>
      <c r="F47" s="36">
        <f t="shared" si="59"/>
        <v>3.9280736150210311E-4</v>
      </c>
      <c r="G47" s="3">
        <f t="shared" si="2"/>
        <v>0.98938090665941802</v>
      </c>
      <c r="H47" s="3">
        <f t="shared" si="3"/>
        <v>0.99752791100741445</v>
      </c>
      <c r="I47" s="1">
        <f t="shared" si="4"/>
        <v>1.0619093340581913E-2</v>
      </c>
      <c r="J47" s="14">
        <f t="shared" si="63"/>
        <v>-40.000000000000036</v>
      </c>
      <c r="K47" s="3">
        <f t="shared" si="5"/>
        <v>2.08025268583815E-3</v>
      </c>
      <c r="L47" s="14">
        <f t="shared" si="64"/>
        <v>40.000000000000036</v>
      </c>
      <c r="M47" s="3">
        <f t="shared" si="74"/>
        <v>3.9183630674752718E-4</v>
      </c>
      <c r="N47" s="14">
        <f t="shared" si="6"/>
        <v>1</v>
      </c>
      <c r="O47" s="108">
        <f t="shared" si="7"/>
        <v>4.5686131858482686E-5</v>
      </c>
      <c r="P47" s="3">
        <f t="shared" si="75"/>
        <v>0.98449523260084815</v>
      </c>
      <c r="Q47" s="3">
        <f t="shared" si="60"/>
        <v>1.1340066301682668E-2</v>
      </c>
      <c r="R47" s="3">
        <f t="shared" si="61"/>
        <v>4.1145566802462553E-3</v>
      </c>
      <c r="S47" s="108">
        <f t="shared" si="62"/>
        <v>4.5708974924411922E-5</v>
      </c>
      <c r="T47" s="1">
        <f t="shared" si="76"/>
        <v>15751.92372161357</v>
      </c>
      <c r="U47" s="1">
        <f t="shared" si="77"/>
        <v>18144.106082692269</v>
      </c>
      <c r="V47" s="1">
        <f t="shared" si="78"/>
        <v>21944.302075203672</v>
      </c>
      <c r="W47" s="1">
        <f t="shared" si="79"/>
        <v>2437.8119715905159</v>
      </c>
      <c r="X47" s="1">
        <f t="shared" si="65"/>
        <v>1.1518660452752405</v>
      </c>
      <c r="Y47">
        <f t="shared" si="8"/>
        <v>1.3931188636403438</v>
      </c>
      <c r="Z47" s="11">
        <f t="shared" si="9"/>
        <v>0.15476280958912586</v>
      </c>
      <c r="AA47" s="17">
        <f t="shared" si="66"/>
        <v>0.9639246791808197</v>
      </c>
      <c r="AB47" s="17">
        <f t="shared" si="66"/>
        <v>1.0398817364359669</v>
      </c>
      <c r="AC47" s="17">
        <f t="shared" si="66"/>
        <v>1.0001080908277356</v>
      </c>
      <c r="AD47" s="19"/>
      <c r="AE47" s="19"/>
      <c r="AF47" s="19"/>
      <c r="AG47" s="18">
        <f t="shared" si="80"/>
        <v>1.1522493163665349E-2</v>
      </c>
      <c r="AH47" s="18">
        <f t="shared" si="80"/>
        <v>4.1794894696403403E-3</v>
      </c>
      <c r="AI47" s="18">
        <f t="shared" si="80"/>
        <v>4.6394998695392732E-5</v>
      </c>
      <c r="AJ47" s="3">
        <f t="shared" si="11"/>
        <v>40</v>
      </c>
      <c r="AK47" s="3">
        <f t="shared" si="53"/>
        <v>2.0897447348201701E-3</v>
      </c>
      <c r="AL47" s="3">
        <f t="shared" si="12"/>
        <v>3.9524914448812201E-4</v>
      </c>
      <c r="AM47" s="3">
        <f t="shared" si="13"/>
        <v>0.99752116600798968</v>
      </c>
      <c r="AN47" s="1">
        <f t="shared" si="14"/>
        <v>8.639845471961928E-6</v>
      </c>
      <c r="AO47" s="3">
        <f t="shared" si="54"/>
        <v>2.0854295587778358E-3</v>
      </c>
      <c r="AP47" s="3">
        <f t="shared" si="15"/>
        <v>3.9481800088755572E-4</v>
      </c>
      <c r="AQ47" s="3">
        <f t="shared" si="16"/>
        <v>0.9975258888484807</v>
      </c>
      <c r="AR47" s="14">
        <f t="shared" si="17"/>
        <v>5.7958609439578979E-10</v>
      </c>
      <c r="AS47" s="3">
        <f t="shared" si="55"/>
        <v>2.0854292693032106E-3</v>
      </c>
      <c r="AT47" s="3">
        <f t="shared" si="18"/>
        <v>3.9481797195106499E-4</v>
      </c>
      <c r="AU47" s="3">
        <f t="shared" si="19"/>
        <v>0.99752588916531815</v>
      </c>
      <c r="AV47" s="14">
        <f t="shared" si="20"/>
        <v>3.8550759806632584E-14</v>
      </c>
      <c r="AW47" s="3">
        <f t="shared" si="56"/>
        <v>2.0854292692839564E-3</v>
      </c>
      <c r="AX47" s="3">
        <f t="shared" si="21"/>
        <v>3.9481797194914036E-4</v>
      </c>
      <c r="AY47" s="3">
        <f t="shared" si="22"/>
        <v>0.99752588916533913</v>
      </c>
      <c r="AZ47">
        <f t="shared" si="23"/>
        <v>0</v>
      </c>
      <c r="BA47" s="108">
        <f t="shared" si="24"/>
        <v>1.0732857219767068E-2</v>
      </c>
      <c r="BB47" s="3">
        <f t="shared" si="25"/>
        <v>-40.018924412709936</v>
      </c>
      <c r="BC47" s="3">
        <f t="shared" si="26"/>
        <v>40.010607063612809</v>
      </c>
      <c r="BD47" s="3">
        <f t="shared" si="70"/>
        <v>20.929943894762324</v>
      </c>
      <c r="BE47" s="14">
        <f t="shared" si="27"/>
        <v>4.6413632138775161E-5</v>
      </c>
      <c r="BF47" s="108">
        <f t="shared" si="28"/>
        <v>1.0732857219767068E-2</v>
      </c>
      <c r="BG47" s="3">
        <f t="shared" si="29"/>
        <v>2.0854292692839564E-3</v>
      </c>
      <c r="BH47" s="3">
        <f t="shared" si="30"/>
        <v>3.9481797194914036E-4</v>
      </c>
      <c r="BI47" s="3">
        <f t="shared" si="31"/>
        <v>0.98938111376997273</v>
      </c>
      <c r="BJ47" s="3">
        <f t="shared" si="32"/>
        <v>0.99752588916533913</v>
      </c>
      <c r="BK47" s="14">
        <v>1</v>
      </c>
      <c r="BL47" s="108">
        <f t="shared" si="33"/>
        <v>1.0618886230027234E-2</v>
      </c>
      <c r="BM47" s="3">
        <f t="shared" si="34"/>
        <v>-40.018924412709936</v>
      </c>
      <c r="BN47" s="14">
        <f t="shared" si="71"/>
        <v>2.0802696861339019E-3</v>
      </c>
      <c r="BO47" s="108">
        <f t="shared" si="35"/>
        <v>40.010607063612809</v>
      </c>
      <c r="BP47" s="3">
        <f t="shared" si="36"/>
        <v>3.9384114852702214E-4</v>
      </c>
      <c r="BQ47" s="1">
        <f t="shared" si="37"/>
        <v>20.929943894762324</v>
      </c>
      <c r="BR47" s="1">
        <f t="shared" si="38"/>
        <v>0.98449149292743499</v>
      </c>
      <c r="BS47" s="3">
        <f t="shared" si="39"/>
        <v>1.1522493163665349E-2</v>
      </c>
      <c r="BT47" s="3">
        <f t="shared" si="40"/>
        <v>4.1794894696403437E-3</v>
      </c>
      <c r="BU47" s="14">
        <f t="shared" si="41"/>
        <v>4.6413632138775161E-5</v>
      </c>
      <c r="BV47" s="3">
        <f t="shared" si="42"/>
        <v>1.1522493163665347E-2</v>
      </c>
      <c r="BW47" s="3">
        <f t="shared" si="43"/>
        <v>4.179489469640342E-3</v>
      </c>
      <c r="BX47" s="5">
        <f t="shared" si="44"/>
        <v>4.6413632138775167E-5</v>
      </c>
      <c r="BY47" s="82">
        <f t="shared" si="45"/>
        <v>-0.40146488270342839</v>
      </c>
      <c r="BZ47" s="8">
        <f t="shared" si="46"/>
        <v>0.1080908277355519</v>
      </c>
      <c r="CA47" s="13">
        <f t="shared" si="47"/>
        <v>-40.018924412709936</v>
      </c>
      <c r="CB47" s="13">
        <f t="shared" si="48"/>
        <v>40.010607063612809</v>
      </c>
      <c r="CC47" s="12">
        <f t="shared" si="49"/>
        <v>20.929943894762324</v>
      </c>
      <c r="CD47">
        <f t="shared" si="50"/>
        <v>2.2204460492503131E-13</v>
      </c>
      <c r="CE47">
        <f t="shared" si="51"/>
        <v>-4.4408920985006262E-13</v>
      </c>
      <c r="CF47" s="85">
        <f t="shared" si="57"/>
        <v>-1.6171364231043484E-3</v>
      </c>
      <c r="CG47" s="333">
        <f t="shared" si="58"/>
        <v>-4.4583060967440247E-3</v>
      </c>
      <c r="CH47" s="10"/>
      <c r="CI47" s="13"/>
    </row>
    <row r="48" spans="2:87" x14ac:dyDescent="0.25">
      <c r="B48">
        <f>'datapoints-plots'!D36</f>
        <v>-40</v>
      </c>
      <c r="C48" s="14">
        <f>'datapoints-plots'!E36</f>
        <v>30</v>
      </c>
      <c r="D48" s="3">
        <f t="shared" si="72"/>
        <v>1.07330688E-2</v>
      </c>
      <c r="E48" s="3">
        <f t="shared" si="73"/>
        <v>2.065356E-3</v>
      </c>
      <c r="F48" s="36">
        <f t="shared" si="59"/>
        <v>3.9080856184556311E-4</v>
      </c>
      <c r="G48" s="3">
        <f t="shared" si="2"/>
        <v>0.98938090665941802</v>
      </c>
      <c r="H48" s="3">
        <f t="shared" si="3"/>
        <v>0.99754985340140134</v>
      </c>
      <c r="I48" s="1">
        <f t="shared" si="4"/>
        <v>1.0619093340581913E-2</v>
      </c>
      <c r="J48" s="14">
        <f t="shared" si="63"/>
        <v>-40.000000000000036</v>
      </c>
      <c r="K48" s="3">
        <f t="shared" si="5"/>
        <v>2.0602955750217045E-3</v>
      </c>
      <c r="L48" s="14">
        <f t="shared" si="64"/>
        <v>30.000000000000028</v>
      </c>
      <c r="M48" s="3">
        <f t="shared" si="74"/>
        <v>3.8985102357705397E-4</v>
      </c>
      <c r="N48" s="14">
        <f t="shared" si="6"/>
        <v>1.0000000000000002</v>
      </c>
      <c r="O48" s="108">
        <f t="shared" si="7"/>
        <v>4.5240703037301505E-5</v>
      </c>
      <c r="P48" s="3">
        <f t="shared" si="75"/>
        <v>0.9845385449520786</v>
      </c>
      <c r="Q48" s="3">
        <f t="shared" si="60"/>
        <v>1.133662963270095E-2</v>
      </c>
      <c r="R48" s="3">
        <f t="shared" si="61"/>
        <v>4.0752104180741726E-3</v>
      </c>
      <c r="S48" s="108">
        <f t="shared" si="62"/>
        <v>4.5263323388820155E-5</v>
      </c>
      <c r="T48" s="1">
        <f t="shared" si="76"/>
        <v>15752.616719233258</v>
      </c>
      <c r="U48" s="1">
        <f t="shared" si="77"/>
        <v>18138.607412321518</v>
      </c>
      <c r="V48" s="1">
        <f t="shared" si="78"/>
        <v>21734.455345717699</v>
      </c>
      <c r="W48" s="1">
        <f t="shared" si="79"/>
        <v>2414.0438899299693</v>
      </c>
      <c r="X48" s="1">
        <f t="shared" si="65"/>
        <v>1.15146630782777</v>
      </c>
      <c r="Y48">
        <f t="shared" si="8"/>
        <v>1.3797361881585601</v>
      </c>
      <c r="Z48" s="11">
        <f t="shared" si="9"/>
        <v>0.15324716730919549</v>
      </c>
      <c r="AA48" s="17">
        <f t="shared" si="66"/>
        <v>0.96359016390242425</v>
      </c>
      <c r="AB48" s="17">
        <f t="shared" si="66"/>
        <v>1.0298923520543706</v>
      </c>
      <c r="AC48" s="17">
        <f t="shared" si="66"/>
        <v>0.99031370863098422</v>
      </c>
      <c r="AD48" s="19"/>
      <c r="AE48" s="19"/>
      <c r="AF48" s="19"/>
      <c r="AG48" s="18">
        <f t="shared" si="80"/>
        <v>1.1518494459107095E-2</v>
      </c>
      <c r="AH48" s="18">
        <f t="shared" si="80"/>
        <v>4.1393401667261789E-3</v>
      </c>
      <c r="AI48" s="18">
        <f t="shared" si="80"/>
        <v>4.5940637458434472E-5</v>
      </c>
      <c r="AJ48" s="3">
        <f t="shared" si="11"/>
        <v>30</v>
      </c>
      <c r="AK48" s="3">
        <f t="shared" si="53"/>
        <v>2.0696700833630895E-3</v>
      </c>
      <c r="AL48" s="3">
        <f t="shared" si="12"/>
        <v>3.9323983072592623E-4</v>
      </c>
      <c r="AM48" s="3">
        <f t="shared" si="13"/>
        <v>0.99754314110803344</v>
      </c>
      <c r="AN48" s="1">
        <f t="shared" si="14"/>
        <v>8.5951489292258529E-6</v>
      </c>
      <c r="AO48" s="3">
        <f t="shared" si="54"/>
        <v>2.0653772310360364E-3</v>
      </c>
      <c r="AP48" s="3">
        <f t="shared" si="15"/>
        <v>3.928089580005332E-4</v>
      </c>
      <c r="AQ48" s="3">
        <f t="shared" si="16"/>
        <v>0.99754784167269706</v>
      </c>
      <c r="AR48" s="14">
        <f t="shared" si="17"/>
        <v>5.3432587087537398E-10</v>
      </c>
      <c r="AS48" s="3">
        <f t="shared" si="55"/>
        <v>2.0653769641666574E-3</v>
      </c>
      <c r="AT48" s="3">
        <f t="shared" si="18"/>
        <v>3.928089312017743E-4</v>
      </c>
      <c r="AU48" s="3">
        <f t="shared" si="19"/>
        <v>0.99754784196492652</v>
      </c>
      <c r="AV48" s="14">
        <f t="shared" si="20"/>
        <v>3.2911173786231984E-14</v>
      </c>
      <c r="AW48" s="3">
        <f t="shared" si="56"/>
        <v>2.06537696415022E-3</v>
      </c>
      <c r="AX48" s="3">
        <f t="shared" si="21"/>
        <v>3.9280893120012376E-4</v>
      </c>
      <c r="AY48" s="3">
        <f t="shared" si="22"/>
        <v>0.99754784196494439</v>
      </c>
      <c r="AZ48">
        <f t="shared" si="23"/>
        <v>0</v>
      </c>
      <c r="BA48" s="108">
        <f t="shared" si="24"/>
        <v>1.0732876596706848E-2</v>
      </c>
      <c r="BB48" s="3">
        <f t="shared" si="25"/>
        <v>-40.017191277244677</v>
      </c>
      <c r="BC48" s="3">
        <f t="shared" si="26"/>
        <v>30.010454892389848</v>
      </c>
      <c r="BD48" s="3">
        <f t="shared" si="70"/>
        <v>15.734917313145358</v>
      </c>
      <c r="BE48" s="14">
        <f t="shared" si="27"/>
        <v>4.5959125270022157E-5</v>
      </c>
      <c r="BF48" s="108">
        <f t="shared" si="28"/>
        <v>1.0732876596706848E-2</v>
      </c>
      <c r="BG48" s="3">
        <f t="shared" si="29"/>
        <v>2.06537696415022E-3</v>
      </c>
      <c r="BH48" s="3">
        <f t="shared" si="30"/>
        <v>3.9280893120012376E-4</v>
      </c>
      <c r="BI48" s="3">
        <f t="shared" si="31"/>
        <v>0.98938109480237157</v>
      </c>
      <c r="BJ48" s="3">
        <f t="shared" si="32"/>
        <v>0.99754784196494439</v>
      </c>
      <c r="BK48" s="14">
        <v>1</v>
      </c>
      <c r="BL48" s="108">
        <f t="shared" si="33"/>
        <v>1.0618905197628573E-2</v>
      </c>
      <c r="BM48" s="3">
        <f t="shared" si="34"/>
        <v>-40.017191277244677</v>
      </c>
      <c r="BN48" s="14">
        <f t="shared" si="71"/>
        <v>2.0603123334321603E-3</v>
      </c>
      <c r="BO48" s="108">
        <f t="shared" si="35"/>
        <v>30.010454892389848</v>
      </c>
      <c r="BP48" s="3">
        <f t="shared" si="36"/>
        <v>3.918457016232398E-4</v>
      </c>
      <c r="BQ48" s="108">
        <f t="shared" si="37"/>
        <v>15.734917313145358</v>
      </c>
      <c r="BR48" s="3">
        <f t="shared" si="38"/>
        <v>0.9845348064263808</v>
      </c>
      <c r="BS48" s="3">
        <f t="shared" si="39"/>
        <v>1.1518494459107095E-2</v>
      </c>
      <c r="BT48" s="3">
        <f t="shared" si="40"/>
        <v>4.1393401667261806E-3</v>
      </c>
      <c r="BU48" s="14">
        <f t="shared" si="41"/>
        <v>4.5959125270022157E-5</v>
      </c>
      <c r="BV48" s="3">
        <f t="shared" si="42"/>
        <v>1.1518494459107095E-2</v>
      </c>
      <c r="BW48" s="3">
        <f t="shared" si="43"/>
        <v>4.1393401667261815E-3</v>
      </c>
      <c r="BX48" s="5">
        <f t="shared" si="44"/>
        <v>4.5959125270022157E-5</v>
      </c>
      <c r="BY48" s="82">
        <f t="shared" si="45"/>
        <v>-0.40226639386764518</v>
      </c>
      <c r="BZ48" s="8">
        <f t="shared" si="46"/>
        <v>-9.6862913690157768</v>
      </c>
      <c r="CA48" s="13">
        <f t="shared" si="47"/>
        <v>-40.017191277244677</v>
      </c>
      <c r="CB48" s="13">
        <f t="shared" si="48"/>
        <v>30.010454892389848</v>
      </c>
      <c r="CC48" s="12">
        <f t="shared" si="49"/>
        <v>15.734917313145358</v>
      </c>
      <c r="CD48">
        <f t="shared" si="50"/>
        <v>0</v>
      </c>
      <c r="CE48">
        <f t="shared" si="51"/>
        <v>-6.6613381477509392E-13</v>
      </c>
      <c r="CF48" s="85">
        <f t="shared" si="57"/>
        <v>-1.6050545192936028E-3</v>
      </c>
      <c r="CG48" s="333">
        <f t="shared" si="58"/>
        <v>-4.4663668231637033E-3</v>
      </c>
      <c r="CH48" s="10"/>
      <c r="CI48" s="13"/>
    </row>
    <row r="49" spans="1:87" x14ac:dyDescent="0.25">
      <c r="B49">
        <f>'datapoints-plots'!D37</f>
        <v>-40</v>
      </c>
      <c r="C49" s="14">
        <f>'datapoints-plots'!E37</f>
        <v>20</v>
      </c>
      <c r="D49" s="3">
        <f t="shared" si="72"/>
        <v>1.07330688E-2</v>
      </c>
      <c r="E49" s="3">
        <f t="shared" si="73"/>
        <v>2.045304E-3</v>
      </c>
      <c r="F49" s="36">
        <f t="shared" si="59"/>
        <v>3.8880058144338234E-4</v>
      </c>
      <c r="G49" s="3">
        <f t="shared" si="2"/>
        <v>0.98938090665941802</v>
      </c>
      <c r="H49" s="14">
        <f t="shared" si="3"/>
        <v>0.99757180589694749</v>
      </c>
      <c r="I49" s="3">
        <f t="shared" si="4"/>
        <v>1.0619093340581913E-2</v>
      </c>
      <c r="J49" s="14">
        <f t="shared" si="63"/>
        <v>-40.000000000000036</v>
      </c>
      <c r="K49" s="3">
        <f t="shared" si="5"/>
        <v>2.0403376048882503E-3</v>
      </c>
      <c r="L49" s="14">
        <f t="shared" si="64"/>
        <v>20.000000000000018</v>
      </c>
      <c r="M49" s="3">
        <f t="shared" si="74"/>
        <v>3.8785649816425812E-4</v>
      </c>
      <c r="N49" s="14">
        <f t="shared" si="6"/>
        <v>1</v>
      </c>
      <c r="O49" s="108">
        <f t="shared" si="7"/>
        <v>4.4795356680228769E-5</v>
      </c>
      <c r="P49" s="3">
        <f t="shared" si="75"/>
        <v>0.98458187819600174</v>
      </c>
      <c r="Q49" s="3">
        <f t="shared" si="60"/>
        <v>1.1333174779505446E-2</v>
      </c>
      <c r="R49" s="3">
        <f t="shared" si="61"/>
        <v>4.0358605704494043E-3</v>
      </c>
      <c r="S49" s="108">
        <f t="shared" si="62"/>
        <v>4.4817754358568878E-5</v>
      </c>
      <c r="T49" s="1">
        <f t="shared" si="76"/>
        <v>15753.310051136028</v>
      </c>
      <c r="U49" s="1">
        <f t="shared" si="77"/>
        <v>18133.079647208713</v>
      </c>
      <c r="V49" s="1">
        <f t="shared" si="78"/>
        <v>21524.589493817595</v>
      </c>
      <c r="W49" s="1">
        <f t="shared" si="79"/>
        <v>2390.2802085542044</v>
      </c>
      <c r="X49" s="3">
        <f t="shared" si="65"/>
        <v>1.1510647342271456</v>
      </c>
      <c r="Y49">
        <f t="shared" si="8"/>
        <v>1.3663534472404661</v>
      </c>
      <c r="Z49" s="15">
        <f t="shared" si="9"/>
        <v>0.15173193448203812</v>
      </c>
      <c r="AA49" s="19">
        <f t="shared" si="66"/>
        <v>0.96325411206224965</v>
      </c>
      <c r="AB49" s="109">
        <f t="shared" si="66"/>
        <v>1.0199029188283963</v>
      </c>
      <c r="AC49" s="19">
        <f t="shared" si="66"/>
        <v>0.98052197239957917</v>
      </c>
      <c r="AD49" s="19"/>
      <c r="AE49" s="19"/>
      <c r="AF49" s="19"/>
      <c r="AG49" s="18">
        <f t="shared" si="80"/>
        <v>1.1514477386907699E-2</v>
      </c>
      <c r="AH49" s="18">
        <f t="shared" si="80"/>
        <v>4.0991906674968451E-3</v>
      </c>
      <c r="AI49" s="18">
        <f t="shared" si="80"/>
        <v>4.5486398967767248E-5</v>
      </c>
      <c r="AJ49" s="3">
        <f t="shared" si="11"/>
        <v>20</v>
      </c>
      <c r="AK49" s="3">
        <f t="shared" si="53"/>
        <v>2.0495953337484225E-3</v>
      </c>
      <c r="AL49" s="3">
        <f t="shared" si="12"/>
        <v>3.9122128688694988E-4</v>
      </c>
      <c r="AM49" s="14">
        <f t="shared" si="13"/>
        <v>0.99756512645917228</v>
      </c>
      <c r="AN49" s="3">
        <f t="shared" si="14"/>
        <v>8.5502550363327282E-6</v>
      </c>
      <c r="AO49" s="3">
        <f t="shared" si="54"/>
        <v>2.0453249037033056E-3</v>
      </c>
      <c r="AP49" s="3">
        <f t="shared" si="15"/>
        <v>3.9079068730455752E-4</v>
      </c>
      <c r="AQ49" s="3">
        <f t="shared" si="16"/>
        <v>0.9975698046457836</v>
      </c>
      <c r="AR49" s="14">
        <f t="shared" si="17"/>
        <v>4.8888987910084003E-10</v>
      </c>
      <c r="AS49" s="3">
        <f t="shared" si="55"/>
        <v>2.0453246595269602E-3</v>
      </c>
      <c r="AT49" s="3">
        <f t="shared" si="18"/>
        <v>3.9079066267143754E-4</v>
      </c>
      <c r="AU49" s="3">
        <f t="shared" si="19"/>
        <v>0.99756980491328828</v>
      </c>
      <c r="AV49" s="14">
        <f t="shared" si="20"/>
        <v>2.7671441527044038E-14</v>
      </c>
      <c r="AW49" s="3">
        <f t="shared" si="56"/>
        <v>2.0453246595131397E-3</v>
      </c>
      <c r="AX49" s="3">
        <f t="shared" si="21"/>
        <v>3.9079066267004321E-4</v>
      </c>
      <c r="AY49" s="3">
        <f t="shared" si="22"/>
        <v>0.99756980491330338</v>
      </c>
      <c r="AZ49">
        <f t="shared" si="23"/>
        <v>0</v>
      </c>
      <c r="BA49" s="108">
        <f t="shared" si="24"/>
        <v>1.0732896061567613E-2</v>
      </c>
      <c r="BB49" s="3">
        <f t="shared" si="25"/>
        <v>-40.015450277845254</v>
      </c>
      <c r="BC49" s="3">
        <f t="shared" si="26"/>
        <v>20.010302968850759</v>
      </c>
      <c r="BD49" s="3">
        <f t="shared" si="70"/>
        <v>10.516029310131403</v>
      </c>
      <c r="BE49" s="14">
        <f t="shared" si="27"/>
        <v>4.5504740622923236E-5</v>
      </c>
      <c r="BF49" s="108">
        <f t="shared" si="28"/>
        <v>1.0732896061567613E-2</v>
      </c>
      <c r="BG49" s="3">
        <f t="shared" si="29"/>
        <v>2.0453246595131397E-3</v>
      </c>
      <c r="BH49" s="3">
        <f t="shared" si="30"/>
        <v>3.9079066267004321E-4</v>
      </c>
      <c r="BI49" s="3">
        <f t="shared" si="31"/>
        <v>0.98938107574870726</v>
      </c>
      <c r="BJ49" s="3">
        <f t="shared" si="32"/>
        <v>0.99756980491330338</v>
      </c>
      <c r="BK49" s="14">
        <v>1</v>
      </c>
      <c r="BL49" s="108">
        <f t="shared" si="33"/>
        <v>1.0618924251292829E-2</v>
      </c>
      <c r="BM49" s="3">
        <f t="shared" si="34"/>
        <v>-40.015450277845254</v>
      </c>
      <c r="BN49" s="14">
        <f t="shared" si="71"/>
        <v>2.0403541215748915E-3</v>
      </c>
      <c r="BO49" s="108">
        <f t="shared" si="35"/>
        <v>20.010302968850759</v>
      </c>
      <c r="BP49" s="108">
        <f t="shared" si="36"/>
        <v>3.8984096512169553E-4</v>
      </c>
      <c r="BQ49" s="108">
        <f t="shared" si="37"/>
        <v>10.516029310131403</v>
      </c>
      <c r="BR49" s="3">
        <f t="shared" si="38"/>
        <v>0.98457814082480222</v>
      </c>
      <c r="BS49" s="3">
        <f t="shared" si="39"/>
        <v>1.1514477386907699E-2</v>
      </c>
      <c r="BT49" s="3">
        <f t="shared" si="40"/>
        <v>4.0991906674968468E-3</v>
      </c>
      <c r="BU49" s="14">
        <f t="shared" si="41"/>
        <v>4.5504740622923236E-5</v>
      </c>
      <c r="BV49" s="3">
        <f t="shared" si="42"/>
        <v>1.1514477386907701E-2</v>
      </c>
      <c r="BW49" s="3">
        <f t="shared" si="43"/>
        <v>4.0991906674968459E-3</v>
      </c>
      <c r="BX49" s="15">
        <f t="shared" si="44"/>
        <v>4.5504740622923243E-5</v>
      </c>
      <c r="BY49" s="105">
        <f t="shared" si="45"/>
        <v>-0.40307130432815086</v>
      </c>
      <c r="BZ49" s="8">
        <f t="shared" si="46"/>
        <v>-19.478027600420834</v>
      </c>
      <c r="CA49" s="13">
        <f t="shared" si="47"/>
        <v>-40.015450277845254</v>
      </c>
      <c r="CB49" s="13">
        <f t="shared" si="48"/>
        <v>20.010302968850759</v>
      </c>
      <c r="CC49" s="12">
        <f t="shared" si="49"/>
        <v>10.516029310131403</v>
      </c>
      <c r="CD49">
        <f t="shared" si="50"/>
        <v>-1.1102230246251565E-13</v>
      </c>
      <c r="CE49">
        <f t="shared" si="51"/>
        <v>-2.2204460492503131E-13</v>
      </c>
      <c r="CF49" s="85">
        <f t="shared" si="57"/>
        <v>-1.5929212018317429E-3</v>
      </c>
      <c r="CG49" s="333">
        <f t="shared" si="58"/>
        <v>-4.4744576781496903E-3</v>
      </c>
      <c r="CH49" s="10"/>
      <c r="CI49" s="13"/>
    </row>
    <row r="50" spans="1:87" s="3" customFormat="1" x14ac:dyDescent="0.25">
      <c r="B50" s="3">
        <f>'datapoints-plots'!D38</f>
        <v>-40</v>
      </c>
      <c r="C50" s="14">
        <f>'datapoints-plots'!E38</f>
        <v>10</v>
      </c>
      <c r="D50" s="3">
        <f t="shared" si="72"/>
        <v>1.07330688E-2</v>
      </c>
      <c r="E50" s="3">
        <f t="shared" si="73"/>
        <v>2.025252E-3</v>
      </c>
      <c r="F50" s="3">
        <f t="shared" si="59"/>
        <v>3.8678328749353459E-4</v>
      </c>
      <c r="G50" s="3">
        <f t="shared" si="2"/>
        <v>0.98938090665941802</v>
      </c>
      <c r="H50" s="14">
        <f t="shared" si="3"/>
        <v>0.99759376862748694</v>
      </c>
      <c r="I50" s="3">
        <f t="shared" si="4"/>
        <v>1.0619093340581913E-2</v>
      </c>
      <c r="J50" s="14">
        <f t="shared" si="63"/>
        <v>-40.000000000000036</v>
      </c>
      <c r="K50" s="3">
        <f t="shared" si="5"/>
        <v>2.0203787751003552E-3</v>
      </c>
      <c r="L50" s="14">
        <f t="shared" si="64"/>
        <v>10.000000000000009</v>
      </c>
      <c r="M50" s="3">
        <f t="shared" si="74"/>
        <v>3.8585259741280391E-4</v>
      </c>
      <c r="N50" s="14">
        <f t="shared" si="6"/>
        <v>1</v>
      </c>
      <c r="O50" s="108">
        <f t="shared" si="7"/>
        <v>4.4350093344680984E-5</v>
      </c>
      <c r="P50" s="3">
        <f t="shared" si="75"/>
        <v>0.98462523259733237</v>
      </c>
      <c r="Q50" s="3">
        <f t="shared" si="60"/>
        <v>1.1329701480982717E-2</v>
      </c>
      <c r="R50" s="3">
        <f t="shared" si="61"/>
        <v>3.9965071331047493E-3</v>
      </c>
      <c r="S50" s="108">
        <f t="shared" si="62"/>
        <v>4.4372268391353319E-5</v>
      </c>
      <c r="T50" s="1">
        <f t="shared" si="76"/>
        <v>15754.003721557317</v>
      </c>
      <c r="U50" s="1">
        <f t="shared" si="77"/>
        <v>18127.522369572347</v>
      </c>
      <c r="V50" s="1">
        <f t="shared" si="78"/>
        <v>21314.704496744947</v>
      </c>
      <c r="W50" s="1">
        <f t="shared" si="79"/>
        <v>2366.5209572069671</v>
      </c>
      <c r="X50" s="3">
        <f t="shared" si="65"/>
        <v>1.1506612979129347</v>
      </c>
      <c r="Y50" s="3">
        <f t="shared" si="8"/>
        <v>1.3529706399382482</v>
      </c>
      <c r="Z50" s="15">
        <f t="shared" si="9"/>
        <v>0.15021711299767493</v>
      </c>
      <c r="AA50" s="109">
        <f t="shared" si="66"/>
        <v>0.96291650143353047</v>
      </c>
      <c r="AB50" s="109">
        <f t="shared" si="66"/>
        <v>1.0099134360505571</v>
      </c>
      <c r="AC50" s="19">
        <f t="shared" si="66"/>
        <v>0.97073289434721388</v>
      </c>
      <c r="AD50" s="19"/>
      <c r="AE50" s="19"/>
      <c r="AF50" s="19"/>
      <c r="AG50" s="19">
        <f t="shared" si="80"/>
        <v>1.1510441681374458E-2</v>
      </c>
      <c r="AH50" s="19">
        <f t="shared" si="80"/>
        <v>4.059040969108807E-3</v>
      </c>
      <c r="AI50" s="19">
        <f t="shared" si="80"/>
        <v>4.5032283789984119E-5</v>
      </c>
      <c r="AJ50" s="3">
        <f t="shared" si="11"/>
        <v>10</v>
      </c>
      <c r="AK50" s="3">
        <f t="shared" si="53"/>
        <v>2.0295204845544035E-3</v>
      </c>
      <c r="AL50" s="3">
        <f t="shared" si="12"/>
        <v>3.891933794457362E-4</v>
      </c>
      <c r="AM50" s="14">
        <f t="shared" si="13"/>
        <v>0.99758712219699408</v>
      </c>
      <c r="AN50" s="3">
        <f t="shared" si="14"/>
        <v>8.5051609339612672E-6</v>
      </c>
      <c r="AO50" s="3">
        <f t="shared" si="54"/>
        <v>2.0252725767859682E-3</v>
      </c>
      <c r="AP50" s="3">
        <f t="shared" si="15"/>
        <v>3.8876305531662002E-4</v>
      </c>
      <c r="AQ50" s="3">
        <f t="shared" si="16"/>
        <v>0.99759177790185238</v>
      </c>
      <c r="AR50" s="14">
        <f t="shared" si="17"/>
        <v>4.4327578153230407E-10</v>
      </c>
      <c r="AS50" s="3">
        <f t="shared" si="55"/>
        <v>2.0252723553916114E-3</v>
      </c>
      <c r="AT50" s="3">
        <f t="shared" si="18"/>
        <v>3.8876303287769848E-4</v>
      </c>
      <c r="AU50" s="3">
        <f t="shared" si="19"/>
        <v>0.99759177814451283</v>
      </c>
      <c r="AV50" s="14">
        <f t="shared" si="20"/>
        <v>2.2844573455138573E-14</v>
      </c>
      <c r="AW50" s="3">
        <f t="shared" si="56"/>
        <v>2.0252723553802017E-3</v>
      </c>
      <c r="AX50" s="3">
        <f t="shared" si="21"/>
        <v>3.8876303287654191E-4</v>
      </c>
      <c r="AY50" s="3">
        <f t="shared" si="22"/>
        <v>0.99759177814452515</v>
      </c>
      <c r="AZ50" s="14">
        <f t="shared" si="23"/>
        <v>0</v>
      </c>
      <c r="BA50" s="108">
        <f t="shared" si="24"/>
        <v>1.0732915615621374E-2</v>
      </c>
      <c r="BB50" s="3">
        <f t="shared" si="25"/>
        <v>-40.013701300739001</v>
      </c>
      <c r="BC50" s="3">
        <f t="shared" si="26"/>
        <v>10.010151296729441</v>
      </c>
      <c r="BD50" s="3">
        <f t="shared" si="70"/>
        <v>5.2729347237854274</v>
      </c>
      <c r="BE50" s="14">
        <f t="shared" si="27"/>
        <v>4.5050478761851856E-5</v>
      </c>
      <c r="BF50" s="108">
        <f t="shared" si="28"/>
        <v>1.0732915615621374E-2</v>
      </c>
      <c r="BG50" s="3">
        <f t="shared" si="29"/>
        <v>2.0252723553802017E-3</v>
      </c>
      <c r="BH50" s="3">
        <f t="shared" si="30"/>
        <v>3.8876303287654191E-4</v>
      </c>
      <c r="BI50" s="3">
        <f t="shared" si="31"/>
        <v>0.9893810566077349</v>
      </c>
      <c r="BJ50" s="3">
        <f t="shared" si="32"/>
        <v>0.99759177814452515</v>
      </c>
      <c r="BK50" s="14">
        <v>1</v>
      </c>
      <c r="BL50" s="108">
        <f t="shared" si="33"/>
        <v>1.0618943392265132E-2</v>
      </c>
      <c r="BM50" s="3">
        <f t="shared" si="34"/>
        <v>-40.013701300739001</v>
      </c>
      <c r="BN50" s="14">
        <f t="shared" si="71"/>
        <v>2.0203950502306858E-3</v>
      </c>
      <c r="BO50" s="108">
        <f t="shared" si="35"/>
        <v>10.010151296729441</v>
      </c>
      <c r="BP50" s="108">
        <f t="shared" si="36"/>
        <v>3.8782680524416792E-4</v>
      </c>
      <c r="BQ50" s="108">
        <f t="shared" si="37"/>
        <v>5.2729347237854274</v>
      </c>
      <c r="BR50" s="3">
        <f t="shared" si="38"/>
        <v>0.98462149638750163</v>
      </c>
      <c r="BS50" s="3">
        <f t="shared" si="39"/>
        <v>1.1510441681374458E-2</v>
      </c>
      <c r="BT50" s="3">
        <f t="shared" si="40"/>
        <v>4.0590409691088087E-3</v>
      </c>
      <c r="BU50" s="14">
        <f t="shared" si="41"/>
        <v>4.5050478761851856E-5</v>
      </c>
      <c r="BV50" s="3">
        <f t="shared" si="42"/>
        <v>1.1510441681374458E-2</v>
      </c>
      <c r="BW50" s="3">
        <f t="shared" si="43"/>
        <v>4.0590409691088078E-3</v>
      </c>
      <c r="BX50" s="15">
        <f t="shared" si="44"/>
        <v>4.505047876185185E-5</v>
      </c>
      <c r="BY50" s="105">
        <f t="shared" si="45"/>
        <v>-0.40387965606125675</v>
      </c>
      <c r="BZ50" s="10">
        <f t="shared" si="46"/>
        <v>-29.267105652786118</v>
      </c>
      <c r="CA50" s="106">
        <f t="shared" si="47"/>
        <v>-40.013701300739001</v>
      </c>
      <c r="CB50" s="106">
        <f t="shared" si="48"/>
        <v>10.010151296729441</v>
      </c>
      <c r="CC50" s="107">
        <f t="shared" si="49"/>
        <v>5.2729347237854274</v>
      </c>
      <c r="CD50" s="3">
        <f t="shared" si="50"/>
        <v>0</v>
      </c>
      <c r="CE50" s="3">
        <f t="shared" si="51"/>
        <v>-2.2204460492503131E-13</v>
      </c>
      <c r="CF50" s="333">
        <f t="shared" si="57"/>
        <v>-1.5807362020447968E-3</v>
      </c>
      <c r="CG50" s="333">
        <f t="shared" si="58"/>
        <v>-4.48257901486393E-3</v>
      </c>
      <c r="CH50" s="10"/>
      <c r="CI50" s="106"/>
    </row>
    <row r="51" spans="1:87" s="3" customFormat="1" x14ac:dyDescent="0.25">
      <c r="B51" s="3">
        <f>'datapoints-plots'!D39</f>
        <v>-40</v>
      </c>
      <c r="C51" s="14">
        <f>'datapoints-plots'!E39</f>
        <v>0</v>
      </c>
      <c r="D51" s="3">
        <f t="shared" si="72"/>
        <v>1.07330688E-2</v>
      </c>
      <c r="E51" s="3">
        <f t="shared" si="73"/>
        <v>2.0052E-3</v>
      </c>
      <c r="F51" s="3">
        <f t="shared" si="59"/>
        <v>3.8475654393587772E-4</v>
      </c>
      <c r="G51" s="3">
        <f t="shared" si="2"/>
        <v>0.98938090665941802</v>
      </c>
      <c r="H51" s="14">
        <f t="shared" si="3"/>
        <v>0.99761574172971967</v>
      </c>
      <c r="I51" s="3">
        <f t="shared" si="4"/>
        <v>1.0619093340581913E-2</v>
      </c>
      <c r="J51" s="14">
        <f t="shared" si="63"/>
        <v>-40.000000000000036</v>
      </c>
      <c r="K51" s="3">
        <f t="shared" si="5"/>
        <v>2.0004190853164338E-3</v>
      </c>
      <c r="L51" s="14">
        <f t="shared" si="64"/>
        <v>0</v>
      </c>
      <c r="M51" s="3">
        <f t="shared" si="74"/>
        <v>3.8383918496395411E-4</v>
      </c>
      <c r="N51" s="14">
        <f t="shared" si="6"/>
        <v>1</v>
      </c>
      <c r="O51" s="108">
        <f t="shared" si="7"/>
        <v>4.3904913596108669E-5</v>
      </c>
      <c r="P51" s="3">
        <f t="shared" si="75"/>
        <v>0.98466860842725612</v>
      </c>
      <c r="Q51" s="3">
        <f t="shared" si="60"/>
        <v>1.1326209469624735E-2</v>
      </c>
      <c r="R51" s="3">
        <f t="shared" si="61"/>
        <v>3.9571501016872519E-3</v>
      </c>
      <c r="S51" s="108">
        <f t="shared" si="62"/>
        <v>4.3926866052906723E-5</v>
      </c>
      <c r="T51" s="1">
        <f t="shared" si="76"/>
        <v>15754.697734836098</v>
      </c>
      <c r="U51" s="1">
        <f t="shared" si="77"/>
        <v>18121.935151399579</v>
      </c>
      <c r="V51" s="1">
        <f t="shared" si="78"/>
        <v>21104.800331284005</v>
      </c>
      <c r="W51" s="1">
        <f t="shared" si="79"/>
        <v>2342.7661660606964</v>
      </c>
      <c r="X51" s="3">
        <f t="shared" si="65"/>
        <v>1.1502559716730807</v>
      </c>
      <c r="Y51" s="3">
        <f t="shared" si="8"/>
        <v>1.3395877652808277</v>
      </c>
      <c r="Z51" s="15">
        <f t="shared" si="9"/>
        <v>0.14870270477360378</v>
      </c>
      <c r="AA51" s="109">
        <f t="shared" si="66"/>
        <v>0.96257730924419782</v>
      </c>
      <c r="AB51" s="109">
        <f t="shared" si="66"/>
        <v>0.9999239029959992</v>
      </c>
      <c r="AC51" s="19">
        <f t="shared" si="66"/>
        <v>0.96094648686514117</v>
      </c>
      <c r="AD51" s="19"/>
      <c r="AE51" s="19"/>
      <c r="AF51" s="19"/>
      <c r="AG51" s="19">
        <f t="shared" si="80"/>
        <v>1.1506387070296262E-2</v>
      </c>
      <c r="AH51" s="19">
        <f t="shared" si="80"/>
        <v>4.0188910686487379E-3</v>
      </c>
      <c r="AI51" s="19">
        <f t="shared" si="80"/>
        <v>4.4578292499915103E-5</v>
      </c>
      <c r="AJ51" s="3">
        <f t="shared" si="11"/>
        <v>0</v>
      </c>
      <c r="AK51" s="3">
        <f t="shared" si="53"/>
        <v>2.0094455343243689E-3</v>
      </c>
      <c r="AL51" s="3">
        <f t="shared" si="12"/>
        <v>3.8715597160077279E-4</v>
      </c>
      <c r="AM51" s="14">
        <f t="shared" si="13"/>
        <v>0.99760912846040695</v>
      </c>
      <c r="AN51" s="3">
        <f t="shared" si="14"/>
        <v>8.4598636925919957E-6</v>
      </c>
      <c r="AO51" s="3">
        <f t="shared" si="54"/>
        <v>2.0052202502905104E-3</v>
      </c>
      <c r="AP51" s="3">
        <f t="shared" si="15"/>
        <v>3.8672592527888507E-4</v>
      </c>
      <c r="AQ51" s="3">
        <f t="shared" si="16"/>
        <v>0.99761376157829751</v>
      </c>
      <c r="AR51" s="14">
        <f t="shared" si="17"/>
        <v>3.9748118945553967E-10</v>
      </c>
      <c r="AS51" s="3">
        <f t="shared" si="55"/>
        <v>2.00522005176829E-3</v>
      </c>
      <c r="AT51" s="3">
        <f t="shared" si="18"/>
        <v>3.8672590506339568E-4</v>
      </c>
      <c r="AU51" s="3">
        <f t="shared" si="19"/>
        <v>0.99761376179599237</v>
      </c>
      <c r="AV51" s="14">
        <f t="shared" si="20"/>
        <v>1.8440977911371448E-14</v>
      </c>
      <c r="AW51" s="3">
        <f t="shared" si="56"/>
        <v>2.0052200517590795E-3</v>
      </c>
      <c r="AX51" s="3">
        <f t="shared" si="21"/>
        <v>3.8672590506245769E-4</v>
      </c>
      <c r="AY51" s="3">
        <f t="shared" si="22"/>
        <v>0.99761376179600247</v>
      </c>
      <c r="AZ51" s="14">
        <f t="shared" si="23"/>
        <v>0</v>
      </c>
      <c r="BA51" s="108">
        <f t="shared" si="24"/>
        <v>1.0732935260171347E-2</v>
      </c>
      <c r="BB51" s="3">
        <f t="shared" si="25"/>
        <v>-40.011944229362165</v>
      </c>
      <c r="BC51" s="3">
        <f t="shared" si="26"/>
        <v>9.9998798521738763E-3</v>
      </c>
      <c r="BD51" s="3">
        <f t="shared" si="70"/>
        <v>5.2799241012646547E-3</v>
      </c>
      <c r="BE51" s="14">
        <f t="shared" si="27"/>
        <v>4.4596340259387788E-5</v>
      </c>
      <c r="BF51" s="108">
        <f t="shared" si="28"/>
        <v>1.0732935260171347E-2</v>
      </c>
      <c r="BG51" s="3">
        <f t="shared" si="29"/>
        <v>2.0052200517590795E-3</v>
      </c>
      <c r="BH51" s="3">
        <f t="shared" si="30"/>
        <v>3.8672590506245769E-4</v>
      </c>
      <c r="BI51" s="3">
        <f t="shared" si="31"/>
        <v>0.98938103737817895</v>
      </c>
      <c r="BJ51" s="3">
        <f t="shared" si="32"/>
        <v>0.99761376179600247</v>
      </c>
      <c r="BK51" s="14">
        <v>1</v>
      </c>
      <c r="BL51" s="108">
        <f t="shared" si="33"/>
        <v>1.0618962621821163E-2</v>
      </c>
      <c r="BM51" s="3">
        <f t="shared" si="34"/>
        <v>-40.011944229362165</v>
      </c>
      <c r="BN51" s="14">
        <f t="shared" si="71"/>
        <v>2.0004351190641501E-3</v>
      </c>
      <c r="BO51" s="108">
        <f t="shared" si="35"/>
        <v>9.9998798521738763E-3</v>
      </c>
      <c r="BP51" s="108">
        <f t="shared" si="36"/>
        <v>3.8580308493332214E-4</v>
      </c>
      <c r="BQ51" s="108">
        <f t="shared" si="37"/>
        <v>5.2799241012646547E-3</v>
      </c>
      <c r="BR51" s="3">
        <f t="shared" si="38"/>
        <v>0.98466487338575714</v>
      </c>
      <c r="BS51" s="3">
        <f t="shared" si="39"/>
        <v>1.1506387070296262E-2</v>
      </c>
      <c r="BT51" s="3">
        <f t="shared" si="40"/>
        <v>4.0188910686487387E-3</v>
      </c>
      <c r="BU51" s="14">
        <f t="shared" si="41"/>
        <v>4.4596340259387788E-5</v>
      </c>
      <c r="BV51" s="3">
        <f t="shared" si="42"/>
        <v>1.1506387070296263E-2</v>
      </c>
      <c r="BW51" s="3">
        <f t="shared" si="43"/>
        <v>4.0188910686487387E-3</v>
      </c>
      <c r="BX51" s="15">
        <f t="shared" si="44"/>
        <v>4.4596340259387782E-5</v>
      </c>
      <c r="BY51" s="105">
        <f t="shared" si="45"/>
        <v>-0.4046914918961475</v>
      </c>
      <c r="BZ51" s="10">
        <f t="shared" si="46"/>
        <v>-39.053513134858832</v>
      </c>
      <c r="CA51" s="106">
        <f t="shared" si="47"/>
        <v>-40.011944229362165</v>
      </c>
      <c r="CB51" s="106">
        <f t="shared" si="48"/>
        <v>9.9998798521738763E-3</v>
      </c>
      <c r="CC51" s="107">
        <f t="shared" si="49"/>
        <v>5.2799241012646547E-3</v>
      </c>
      <c r="CD51" s="3">
        <f t="shared" si="50"/>
        <v>-1.1102230246251565E-13</v>
      </c>
      <c r="CE51" s="3">
        <f t="shared" si="51"/>
        <v>-2.2204460492503131E-13</v>
      </c>
      <c r="CF51" s="333">
        <f t="shared" si="57"/>
        <v>-1.5684992485942573E-3</v>
      </c>
      <c r="CG51" s="333">
        <f t="shared" si="58"/>
        <v>-4.4907311905761915E-3</v>
      </c>
      <c r="CH51" s="10"/>
      <c r="CI51" s="106"/>
    </row>
    <row r="52" spans="1:87" x14ac:dyDescent="0.25">
      <c r="A52" s="3"/>
      <c r="B52" s="3">
        <f>'datapoints-plots'!D40</f>
        <v>-50</v>
      </c>
      <c r="C52" s="14">
        <f>'datapoints-plots'!E40</f>
        <v>50</v>
      </c>
      <c r="D52" s="3">
        <f t="shared" si="72"/>
        <v>1.0621266000000001E-2</v>
      </c>
      <c r="E52" s="3">
        <f t="shared" si="73"/>
        <v>2.10546E-3</v>
      </c>
      <c r="F52" s="3">
        <f t="shared" si="59"/>
        <v>3.9479711006544413E-4</v>
      </c>
      <c r="G52" s="3">
        <f t="shared" ref="G52:G57" si="83">1/(1+D52)</f>
        <v>0.98949035968534627</v>
      </c>
      <c r="H52" s="14">
        <f t="shared" ref="H52:H57" si="84">1/(1+E52+F52)</f>
        <v>0.9975059785847108</v>
      </c>
      <c r="I52" s="3">
        <f t="shared" ref="I52:I57" si="85">D52*G52</f>
        <v>1.0509640314653739E-2</v>
      </c>
      <c r="J52" s="14">
        <f t="shared" ref="J52:J57" si="86">1000*((D52/D$19)*(1+B$19/1000) -1)</f>
        <v>-50.000000000000043</v>
      </c>
      <c r="K52" s="3">
        <f t="shared" ref="K52:K57" si="87">E52*H52</f>
        <v>2.1002089376709653E-3</v>
      </c>
      <c r="L52" s="14">
        <f t="shared" ref="L52:L57" si="88">1000*((E52/E$19)*(1+C$19/1000) -1)</f>
        <v>50.000000000000043</v>
      </c>
      <c r="M52" s="3">
        <f t="shared" si="74"/>
        <v>3.9381247761824661E-4</v>
      </c>
      <c r="N52" s="14">
        <f t="shared" ref="N52:N57" si="89">H52+K52+M52</f>
        <v>1</v>
      </c>
      <c r="O52" s="108">
        <f t="shared" si="7"/>
        <v>4.5673204849846058E-5</v>
      </c>
      <c r="P52" s="3">
        <f t="shared" si="75"/>
        <v>0.98456084908166497</v>
      </c>
      <c r="Q52" s="3">
        <f t="shared" si="60"/>
        <v>1.1234663522048426E-2</v>
      </c>
      <c r="R52" s="3">
        <f t="shared" si="61"/>
        <v>4.1542724355964058E-3</v>
      </c>
      <c r="S52" s="108">
        <f t="shared" si="62"/>
        <v>4.5696041452270982E-5</v>
      </c>
      <c r="T52" s="1">
        <f t="shared" si="76"/>
        <v>15752.97358530664</v>
      </c>
      <c r="U52" s="1">
        <f t="shared" si="77"/>
        <v>17975.461635277479</v>
      </c>
      <c r="V52" s="1">
        <f t="shared" si="78"/>
        <v>22156.119434952969</v>
      </c>
      <c r="W52" s="1">
        <f t="shared" si="79"/>
        <v>2437.1221864165636</v>
      </c>
      <c r="X52" s="3">
        <f t="shared" ref="X52:X57" si="90">U52/T52</f>
        <v>1.1410837159051568</v>
      </c>
      <c r="Y52" s="3">
        <f t="shared" ref="Y52:Y57" si="91">V52/T52</f>
        <v>1.4064722012622919</v>
      </c>
      <c r="Z52" s="15">
        <f t="shared" ref="Z52:Z57" si="92">W52/T52</f>
        <v>0.15470870773818565</v>
      </c>
      <c r="AA52" s="109">
        <f t="shared" ref="AA52:AA57" si="93">X52/X$19</f>
        <v>0.95490162183703253</v>
      </c>
      <c r="AB52" s="109">
        <f t="shared" ref="AB52:AB57" si="94">Y52/Y$19</f>
        <v>1.049849221821415</v>
      </c>
      <c r="AC52" s="19">
        <f t="shared" ref="AC52:AC57" si="95">Z52/Z$19</f>
        <v>0.99975847389458672</v>
      </c>
      <c r="AD52" s="19"/>
      <c r="AE52" s="19"/>
      <c r="AF52" s="19"/>
      <c r="AG52" s="19">
        <f t="shared" ref="AG52:AG57" si="96">AA52*AG$19</f>
        <v>1.1414633992918206E-2</v>
      </c>
      <c r="AH52" s="19">
        <f t="shared" ref="AH52:AH57" si="97">AB52*AH$19</f>
        <v>4.2195507561766862E-3</v>
      </c>
      <c r="AI52" s="19">
        <f t="shared" ref="AI52:AI57" si="98">AC52*AI$19</f>
        <v>4.6378779971330716E-5</v>
      </c>
      <c r="AJ52" s="3">
        <f t="shared" si="11"/>
        <v>50</v>
      </c>
      <c r="AK52" s="3">
        <f t="shared" ref="AK52:AK57" si="99">AH52/2</f>
        <v>2.1097753780883431E-3</v>
      </c>
      <c r="AL52" s="3">
        <f t="shared" si="12"/>
        <v>3.9724499305736078E-4</v>
      </c>
      <c r="AM52" s="14">
        <f t="shared" ref="AM52:AM57" si="100">1/(1+AK52+AL52)</f>
        <v>0.99749924906239806</v>
      </c>
      <c r="AN52" s="3">
        <f t="shared" ref="AN52:AN57" si="101">-3*AL52*AL52+2*AG52*AL52+2*AK52-AH52</f>
        <v>8.5954016490110557E-6</v>
      </c>
      <c r="AO52" s="3">
        <f t="shared" ref="AO52:AO57" si="102">AK52-AN52/2.0022</f>
        <v>2.1054823995402404E-3</v>
      </c>
      <c r="AP52" s="3">
        <f t="shared" si="15"/>
        <v>3.9681799729430009E-4</v>
      </c>
      <c r="AQ52" s="3">
        <f t="shared" ref="AQ52:AQ57" si="103">1/(1+AO52+AP52)</f>
        <v>0.99750394548137777</v>
      </c>
      <c r="AR52" s="14">
        <f t="shared" ref="AR52:AR57" si="104">-3*AP52*AP52+2*AG52*AP52+2*AO52-AH52</f>
        <v>7.1373669908308957E-10</v>
      </c>
      <c r="AS52" s="3">
        <f t="shared" ref="AS52:AS57" si="105">AO52-AR52/2.0022</f>
        <v>2.1054820430640147E-3</v>
      </c>
      <c r="AT52" s="3">
        <f t="shared" ref="AT52:AT57" si="106">$D$9*AS52^$D$8</f>
        <v>3.9681796182078246E-4</v>
      </c>
      <c r="AU52" s="3">
        <f t="shared" ref="AU52:AU57" si="107">1/(1+AS52+AT52)</f>
        <v>0.99750394587137359</v>
      </c>
      <c r="AV52" s="14">
        <f t="shared" ref="AV52:AV57" si="108">-3*AT52*AT52+2*$AG52*AT52+2*AS52-$AH52</f>
        <v>5.8872177965962891E-14</v>
      </c>
      <c r="AW52" s="3">
        <f t="shared" ref="AW52:AW57" si="109">AS52-AV52/2.0022</f>
        <v>2.1054820430346111E-3</v>
      </c>
      <c r="AX52" s="3">
        <f t="shared" ref="AX52:AX57" si="110">$D$9*AW52^$D$8</f>
        <v>3.9681796181785658E-4</v>
      </c>
      <c r="AY52" s="3">
        <f t="shared" ref="AY52:AY57" si="111">1/(1+AW52+AX52)</f>
        <v>0.99750394587140556</v>
      </c>
      <c r="AZ52" s="14">
        <f t="shared" ref="AZ52:AZ57" si="112">-3*AX52*AX52+2*$AG52*AX52+2*AW52-$AH52</f>
        <v>0</v>
      </c>
      <c r="BA52" s="108">
        <f t="shared" ref="BA52:BA57" si="113">AG52-2*AX52</f>
        <v>1.0620998069282492E-2</v>
      </c>
      <c r="BB52" s="3">
        <f t="shared" si="25"/>
        <v>-50.0239645802707</v>
      </c>
      <c r="BC52" s="3">
        <f t="shared" si="26"/>
        <v>50.010992935672903</v>
      </c>
      <c r="BD52" s="3">
        <f t="shared" ref="BD52:BD57" si="114">1000*(AX52/AX$19 -1)</f>
        <v>26.101566489291848</v>
      </c>
      <c r="BE52" s="14">
        <f t="shared" ref="BE52:BE57" si="115">2*BA52*AW52+ 2*AX52*AW52+BA52*AX52*AX52</f>
        <v>4.6397300043976789E-5</v>
      </c>
      <c r="BF52" s="108">
        <f t="shared" ref="BF52:BF57" si="116">(1+BB52/1000)*$D$7</f>
        <v>1.0620998069282492E-2</v>
      </c>
      <c r="BG52" s="3">
        <f t="shared" ref="BG52:BG57" si="117">(1+BC52/1000)*$D$6</f>
        <v>2.1054820430346111E-3</v>
      </c>
      <c r="BH52" s="3">
        <f t="shared" ref="BH52:BH57" si="118">$D$9*BG52^$D$8</f>
        <v>3.9681796181785658E-4</v>
      </c>
      <c r="BI52" s="3">
        <f t="shared" ref="BI52:BI57" si="119">1/(1+BF52)</f>
        <v>0.98949062201401605</v>
      </c>
      <c r="BJ52" s="3">
        <f t="shared" ref="BJ52:BJ57" si="120">1/(1+BG52+BH52)</f>
        <v>0.99750394587140556</v>
      </c>
      <c r="BK52" s="14">
        <v>1</v>
      </c>
      <c r="BL52" s="108">
        <f t="shared" ref="BL52:BL57" si="121">BF52*BI52</f>
        <v>1.0509377985983998E-2</v>
      </c>
      <c r="BM52" s="3">
        <f t="shared" si="34"/>
        <v>-50.0239645802707</v>
      </c>
      <c r="BN52" s="14">
        <f t="shared" ref="BN52:BN57" si="122">BG52*BJ52</f>
        <v>2.1002266458884132E-3</v>
      </c>
      <c r="BO52" s="108">
        <f t="shared" si="35"/>
        <v>50.010992935672903</v>
      </c>
      <c r="BP52" s="108">
        <f t="shared" ref="BP52:BP57" si="123">BH52*BJ52</f>
        <v>3.9582748270596067E-4</v>
      </c>
      <c r="BQ52" s="108">
        <f t="shared" si="37"/>
        <v>26.101566489291848</v>
      </c>
      <c r="BR52" s="3">
        <f t="shared" ref="BR52:BR57" si="124">BI52*BJ52*BJ52</f>
        <v>0.9845571425192291</v>
      </c>
      <c r="BS52" s="3">
        <f t="shared" ref="BS52:BS57" si="125">BF52*BK52*BK52+2*BK52*BH52*BK52</f>
        <v>1.1414633992918206E-2</v>
      </c>
      <c r="BT52" s="3">
        <f t="shared" ref="BT52:BT57" si="126">2*BG52*BK52*BK52+2*BF52*BH52*BK52+BK52*BH52*BH52</f>
        <v>4.2195507561766923E-3</v>
      </c>
      <c r="BU52" s="14">
        <f t="shared" ref="BU52:BU57" si="127">2*BF52*BG52*BK52+2*BK52*BG52*BH52+BF52*BH52*BH52</f>
        <v>4.6397300043976789E-5</v>
      </c>
      <c r="BV52" s="3">
        <f t="shared" ref="BV52:BV57" si="128">(BL52*BJ52*BJ52+2*BI52*BP52*BJ52)/BR52</f>
        <v>1.1414633992918203E-2</v>
      </c>
      <c r="BW52" s="3">
        <f t="shared" ref="BW52:BW57" si="129">(2*BN52*BJ52*BI52+2*BL52*BP52*BJ52+BI52*BP52*BP52)/BR52</f>
        <v>4.2195507561766914E-3</v>
      </c>
      <c r="BX52" s="15">
        <f t="shared" ref="BX52:BX57" si="130">(2*BL52*BN52*BJ52+2*BI52*BN52*BP52+BL52*BP52*BP52)/BR52</f>
        <v>4.6397300043976789E-5</v>
      </c>
      <c r="BY52" s="105">
        <f t="shared" ref="BY52:BY57" si="131">1000*(AI52/BX52-1)</f>
        <v>-0.39916272344553416</v>
      </c>
      <c r="BZ52" s="10">
        <f t="shared" ref="BZ52:BZ57" si="132">1000*(AI52/AI$19 -1)</f>
        <v>-0.24152610541328112</v>
      </c>
      <c r="CA52" s="106">
        <f t="shared" ref="CA52:CA57" si="133">BM52</f>
        <v>-50.0239645802707</v>
      </c>
      <c r="CB52" s="106">
        <f t="shared" ref="CB52:CB57" si="134">BO52</f>
        <v>50.010992935672903</v>
      </c>
      <c r="CC52" s="107">
        <f t="shared" ref="CC52:CC57" si="135">BQ52</f>
        <v>26.101566489291848</v>
      </c>
      <c r="CD52" s="3">
        <f t="shared" ref="CD52:CD57" si="136">1000*(AG52/BV52-1)</f>
        <v>2.2204460492503131E-13</v>
      </c>
      <c r="CE52" s="3">
        <f t="shared" ref="CE52:CE57" si="137">1000*(AH52/BW52-1)</f>
        <v>-1.2212453270876722E-12</v>
      </c>
      <c r="CF52" s="85">
        <f t="shared" si="57"/>
        <v>-1.6224850182267048E-3</v>
      </c>
      <c r="CG52" s="85">
        <f t="shared" si="58"/>
        <v>-4.3891100550697004E-3</v>
      </c>
    </row>
    <row r="53" spans="1:87" x14ac:dyDescent="0.25">
      <c r="A53" s="3"/>
      <c r="B53" s="3">
        <f>'datapoints-plots'!D41</f>
        <v>-50</v>
      </c>
      <c r="C53" s="14">
        <f>'datapoints-plots'!E41</f>
        <v>40</v>
      </c>
      <c r="D53" s="3">
        <f t="shared" si="72"/>
        <v>1.0621266000000001E-2</v>
      </c>
      <c r="E53" s="3">
        <f t="shared" si="73"/>
        <v>2.085408E-3</v>
      </c>
      <c r="F53" s="3">
        <f t="shared" si="59"/>
        <v>3.9280736150210311E-4</v>
      </c>
      <c r="G53" s="3">
        <f t="shared" si="83"/>
        <v>0.98949035968534627</v>
      </c>
      <c r="H53" s="14">
        <f t="shared" si="84"/>
        <v>0.99752791100741445</v>
      </c>
      <c r="I53" s="3">
        <f t="shared" si="85"/>
        <v>1.0509640314653739E-2</v>
      </c>
      <c r="J53" s="14">
        <f t="shared" si="86"/>
        <v>-50.000000000000043</v>
      </c>
      <c r="K53" s="3">
        <f t="shared" si="87"/>
        <v>2.08025268583815E-3</v>
      </c>
      <c r="L53" s="14">
        <f t="shared" si="88"/>
        <v>40.000000000000036</v>
      </c>
      <c r="M53" s="3">
        <f t="shared" si="74"/>
        <v>3.9183630674752718E-4</v>
      </c>
      <c r="N53" s="14">
        <f t="shared" si="89"/>
        <v>1</v>
      </c>
      <c r="O53" s="108">
        <f t="shared" si="7"/>
        <v>4.5232039325239351E-5</v>
      </c>
      <c r="P53" s="3">
        <f t="shared" si="75"/>
        <v>0.98460414558364839</v>
      </c>
      <c r="Q53" s="3">
        <f t="shared" si="60"/>
        <v>1.1231239561246206E-2</v>
      </c>
      <c r="R53" s="3">
        <f t="shared" si="61"/>
        <v>4.1149258322461628E-3</v>
      </c>
      <c r="S53" s="108">
        <f t="shared" si="62"/>
        <v>4.5254655344901966E-5</v>
      </c>
      <c r="T53" s="1">
        <f t="shared" si="76"/>
        <v>15753.666329338374</v>
      </c>
      <c r="U53" s="1">
        <f t="shared" si="77"/>
        <v>17969.983297993927</v>
      </c>
      <c r="V53" s="1">
        <f t="shared" si="78"/>
        <v>21946.270885850157</v>
      </c>
      <c r="W53" s="1">
        <f t="shared" si="79"/>
        <v>2413.5815942589552</v>
      </c>
      <c r="X53" s="3">
        <f t="shared" si="90"/>
        <v>1.1406857884585293</v>
      </c>
      <c r="Y53" s="3">
        <f t="shared" si="91"/>
        <v>1.393089737147674</v>
      </c>
      <c r="Z53" s="15">
        <f t="shared" si="92"/>
        <v>0.15320761172680755</v>
      </c>
      <c r="AA53" s="109">
        <f t="shared" si="93"/>
        <v>0.95456862123518216</v>
      </c>
      <c r="AB53" s="109">
        <f t="shared" si="94"/>
        <v>1.0398599952130432</v>
      </c>
      <c r="AC53" s="19">
        <f t="shared" si="95"/>
        <v>0.99005809258156896</v>
      </c>
      <c r="AD53" s="19"/>
      <c r="AE53" s="19"/>
      <c r="AF53" s="19"/>
      <c r="AG53" s="19">
        <f t="shared" si="96"/>
        <v>1.1410653394390966E-2</v>
      </c>
      <c r="AH53" s="19">
        <f t="shared" si="97"/>
        <v>4.1794020873841828E-3</v>
      </c>
      <c r="AI53" s="19">
        <f t="shared" si="98"/>
        <v>4.592877943389902E-5</v>
      </c>
      <c r="AJ53" s="3">
        <f t="shared" si="11"/>
        <v>40</v>
      </c>
      <c r="AK53" s="3">
        <f t="shared" si="99"/>
        <v>2.0897010436920914E-3</v>
      </c>
      <c r="AL53" s="3">
        <f t="shared" si="12"/>
        <v>3.952447812690153E-4</v>
      </c>
      <c r="AM53" s="14">
        <f t="shared" si="100"/>
        <v>0.99752121382439707</v>
      </c>
      <c r="AN53" s="3">
        <f t="shared" si="101"/>
        <v>8.5513470986439688E-6</v>
      </c>
      <c r="AO53" s="3">
        <f t="shared" si="102"/>
        <v>2.0854300682157934E-3</v>
      </c>
      <c r="AP53" s="3">
        <f t="shared" si="15"/>
        <v>3.9481805181203737E-4</v>
      </c>
      <c r="AQ53" s="3">
        <f t="shared" si="103"/>
        <v>0.9975258882908874</v>
      </c>
      <c r="AR53" s="14">
        <f t="shared" si="104"/>
        <v>6.6905144532197758E-10</v>
      </c>
      <c r="AS53" s="3">
        <f t="shared" si="105"/>
        <v>2.0854297340576447E-3</v>
      </c>
      <c r="AT53" s="3">
        <f t="shared" si="106"/>
        <v>3.948180184088921E-4</v>
      </c>
      <c r="AU53" s="3">
        <f t="shared" si="107"/>
        <v>0.99752588865663239</v>
      </c>
      <c r="AV53" s="14">
        <f t="shared" si="108"/>
        <v>5.1974050063741117E-14</v>
      </c>
      <c r="AW53" s="3">
        <f t="shared" si="109"/>
        <v>2.0854297340316863E-3</v>
      </c>
      <c r="AX53" s="3">
        <f t="shared" si="110"/>
        <v>3.9481801840629712E-4</v>
      </c>
      <c r="AY53" s="3">
        <f t="shared" si="111"/>
        <v>0.9975258886566607</v>
      </c>
      <c r="AZ53" s="14">
        <f t="shared" si="112"/>
        <v>0</v>
      </c>
      <c r="BA53" s="108">
        <f t="shared" si="113"/>
        <v>1.0621017357578371E-2</v>
      </c>
      <c r="BB53" s="3">
        <f t="shared" si="25"/>
        <v>-50.022239373399337</v>
      </c>
      <c r="BC53" s="3">
        <f t="shared" si="26"/>
        <v>40.010838834872551</v>
      </c>
      <c r="BD53" s="3">
        <f t="shared" si="114"/>
        <v>20.930064024811568</v>
      </c>
      <c r="BE53" s="14">
        <f t="shared" si="115"/>
        <v>4.5947156894202612E-5</v>
      </c>
      <c r="BF53" s="108">
        <f t="shared" si="116"/>
        <v>1.0621017357578371E-2</v>
      </c>
      <c r="BG53" s="3">
        <f t="shared" si="117"/>
        <v>2.0854297340316863E-3</v>
      </c>
      <c r="BH53" s="3">
        <f t="shared" si="118"/>
        <v>3.9481801840629712E-4</v>
      </c>
      <c r="BI53" s="3">
        <f t="shared" si="119"/>
        <v>0.98949060312900605</v>
      </c>
      <c r="BJ53" s="3">
        <f t="shared" si="120"/>
        <v>0.9975258886566607</v>
      </c>
      <c r="BK53" s="14">
        <v>1</v>
      </c>
      <c r="BL53" s="108">
        <f t="shared" si="121"/>
        <v>1.0509396870993865E-2</v>
      </c>
      <c r="BM53" s="3">
        <f t="shared" si="34"/>
        <v>-50.022239373399337</v>
      </c>
      <c r="BN53" s="14">
        <f t="shared" si="122"/>
        <v>2.0802701486709813E-3</v>
      </c>
      <c r="BO53" s="108">
        <f t="shared" si="35"/>
        <v>40.010838834872551</v>
      </c>
      <c r="BP53" s="108">
        <f t="shared" si="123"/>
        <v>3.9384119466840333E-4</v>
      </c>
      <c r="BQ53" s="108">
        <f t="shared" si="37"/>
        <v>20.930064024811568</v>
      </c>
      <c r="BR53" s="3">
        <f t="shared" si="124"/>
        <v>0.98460044017488391</v>
      </c>
      <c r="BS53" s="3">
        <f t="shared" si="125"/>
        <v>1.1410653394390966E-2</v>
      </c>
      <c r="BT53" s="3">
        <f t="shared" si="126"/>
        <v>4.1794020873841872E-3</v>
      </c>
      <c r="BU53" s="14">
        <f t="shared" si="127"/>
        <v>4.5947156894202612E-5</v>
      </c>
      <c r="BV53" s="3">
        <f t="shared" si="128"/>
        <v>1.1410653394390964E-2</v>
      </c>
      <c r="BW53" s="3">
        <f t="shared" si="129"/>
        <v>4.1794020873841863E-3</v>
      </c>
      <c r="BX53" s="15">
        <f t="shared" si="130"/>
        <v>4.5947156894202605E-5</v>
      </c>
      <c r="BY53" s="105">
        <f t="shared" si="131"/>
        <v>-0.39996947680354111</v>
      </c>
      <c r="BZ53" s="10">
        <f t="shared" si="132"/>
        <v>-9.9419074184309295</v>
      </c>
      <c r="CA53" s="106">
        <f t="shared" si="133"/>
        <v>-50.022239373399337</v>
      </c>
      <c r="CB53" s="106">
        <f t="shared" si="134"/>
        <v>40.010838834872551</v>
      </c>
      <c r="CC53" s="107">
        <f t="shared" si="135"/>
        <v>20.930064024811568</v>
      </c>
      <c r="CD53" s="3">
        <f t="shared" si="136"/>
        <v>2.2204460492503131E-13</v>
      </c>
      <c r="CE53" s="3">
        <f t="shared" si="137"/>
        <v>-7.7715611723760958E-13</v>
      </c>
      <c r="CF53" s="85">
        <f t="shared" si="57"/>
        <v>-1.6105528461984875E-3</v>
      </c>
      <c r="CG53" s="85">
        <f t="shared" si="58"/>
        <v>-4.3971505786499776E-3</v>
      </c>
    </row>
    <row r="54" spans="1:87" x14ac:dyDescent="0.25">
      <c r="A54" s="3"/>
      <c r="B54" s="3">
        <f>'datapoints-plots'!D42</f>
        <v>-50</v>
      </c>
      <c r="C54" s="14">
        <f>'datapoints-plots'!E42</f>
        <v>30</v>
      </c>
      <c r="D54" s="3">
        <f t="shared" si="72"/>
        <v>1.0621266000000001E-2</v>
      </c>
      <c r="E54" s="3">
        <f t="shared" si="73"/>
        <v>2.065356E-3</v>
      </c>
      <c r="F54" s="3">
        <f t="shared" si="59"/>
        <v>3.9080856184556311E-4</v>
      </c>
      <c r="G54" s="3">
        <f t="shared" si="83"/>
        <v>0.98949035968534627</v>
      </c>
      <c r="H54" s="14">
        <f t="shared" si="84"/>
        <v>0.99754985340140134</v>
      </c>
      <c r="I54" s="3">
        <f t="shared" si="85"/>
        <v>1.0509640314653739E-2</v>
      </c>
      <c r="J54" s="14">
        <f t="shared" si="86"/>
        <v>-50.000000000000043</v>
      </c>
      <c r="K54" s="3">
        <f t="shared" si="87"/>
        <v>2.0602955750217045E-3</v>
      </c>
      <c r="L54" s="14">
        <f t="shared" si="88"/>
        <v>30.000000000000028</v>
      </c>
      <c r="M54" s="3">
        <f t="shared" si="74"/>
        <v>3.8985102357705397E-4</v>
      </c>
      <c r="N54" s="14">
        <f t="shared" si="89"/>
        <v>1.0000000000000002</v>
      </c>
      <c r="O54" s="108">
        <f t="shared" si="7"/>
        <v>4.4790956102877686E-5</v>
      </c>
      <c r="P54" s="3">
        <f t="shared" si="75"/>
        <v>0.9846474627221492</v>
      </c>
      <c r="Q54" s="3">
        <f t="shared" si="60"/>
        <v>1.1227797666870877E-2</v>
      </c>
      <c r="R54" s="3">
        <f t="shared" si="61"/>
        <v>4.075575649260344E-3</v>
      </c>
      <c r="S54" s="108">
        <f t="shared" si="62"/>
        <v>4.4813351580929124E-5</v>
      </c>
      <c r="T54" s="1">
        <f t="shared" si="76"/>
        <v>15754.359403554387</v>
      </c>
      <c r="U54" s="1">
        <f t="shared" si="77"/>
        <v>17964.476266993403</v>
      </c>
      <c r="V54" s="1">
        <f t="shared" si="78"/>
        <v>21736.4032453578</v>
      </c>
      <c r="W54" s="1">
        <f t="shared" si="79"/>
        <v>2390.0453937490988</v>
      </c>
      <c r="X54" s="3">
        <f t="shared" si="90"/>
        <v>1.1402860507892427</v>
      </c>
      <c r="Y54" s="3">
        <f t="shared" si="91"/>
        <v>1.3797072091965725</v>
      </c>
      <c r="Z54" s="15">
        <f t="shared" si="92"/>
        <v>0.15170692330466154</v>
      </c>
      <c r="AA54" s="109">
        <f t="shared" si="93"/>
        <v>0.95423410577116263</v>
      </c>
      <c r="AB54" s="109">
        <f t="shared" si="94"/>
        <v>1.0298707209544709</v>
      </c>
      <c r="AC54" s="19">
        <f t="shared" si="95"/>
        <v>0.9803603451913252</v>
      </c>
      <c r="AD54" s="19"/>
      <c r="AE54" s="19"/>
      <c r="AF54" s="19"/>
      <c r="AG54" s="19">
        <f t="shared" si="96"/>
        <v>1.1406654687613814E-2</v>
      </c>
      <c r="AH54" s="19">
        <f t="shared" si="97"/>
        <v>4.1392532270761399E-3</v>
      </c>
      <c r="AI54" s="19">
        <f t="shared" si="98"/>
        <v>4.5478901084103621E-5</v>
      </c>
      <c r="AJ54" s="3">
        <f t="shared" si="11"/>
        <v>30</v>
      </c>
      <c r="AK54" s="3">
        <f t="shared" si="99"/>
        <v>2.0696266135380699E-3</v>
      </c>
      <c r="AL54" s="3">
        <f t="shared" si="12"/>
        <v>3.9323546978357464E-4</v>
      </c>
      <c r="AM54" s="14">
        <f t="shared" si="100"/>
        <v>0.997543188704065</v>
      </c>
      <c r="AN54" s="3">
        <f t="shared" si="101"/>
        <v>8.5071000253981663E-6</v>
      </c>
      <c r="AO54" s="3">
        <f t="shared" si="102"/>
        <v>2.0653777372892446E-3</v>
      </c>
      <c r="AP54" s="3">
        <f t="shared" si="15"/>
        <v>3.9280900883797466E-4</v>
      </c>
      <c r="AQ54" s="3">
        <f t="shared" si="103"/>
        <v>0.99754784111833528</v>
      </c>
      <c r="AR54" s="14">
        <f t="shared" si="104"/>
        <v>6.2419407403230265E-10</v>
      </c>
      <c r="AS54" s="3">
        <f t="shared" si="105"/>
        <v>2.0653774255351373E-3</v>
      </c>
      <c r="AT54" s="3">
        <f t="shared" si="106"/>
        <v>3.9280897753193921E-4</v>
      </c>
      <c r="AU54" s="3">
        <f t="shared" si="107"/>
        <v>0.99754784145971487</v>
      </c>
      <c r="AV54" s="14">
        <f t="shared" si="108"/>
        <v>4.5448887708854357E-14</v>
      </c>
      <c r="AW54" s="3">
        <f t="shared" si="109"/>
        <v>2.065377425512438E-3</v>
      </c>
      <c r="AX54" s="3">
        <f t="shared" si="110"/>
        <v>3.9280897752965978E-4</v>
      </c>
      <c r="AY54" s="3">
        <f t="shared" si="111"/>
        <v>0.99754784145973985</v>
      </c>
      <c r="AZ54" s="14">
        <f t="shared" si="112"/>
        <v>0</v>
      </c>
      <c r="BA54" s="108">
        <f t="shared" si="113"/>
        <v>1.0621036732554493E-2</v>
      </c>
      <c r="BB54" s="3">
        <f t="shared" si="25"/>
        <v>-50.020506413569919</v>
      </c>
      <c r="BC54" s="3">
        <f t="shared" si="26"/>
        <v>30.010684975283255</v>
      </c>
      <c r="BD54" s="3">
        <f t="shared" si="114"/>
        <v>15.735037113189909</v>
      </c>
      <c r="BE54" s="14">
        <f t="shared" si="115"/>
        <v>4.5497135409578151E-5</v>
      </c>
      <c r="BF54" s="108">
        <f t="shared" si="116"/>
        <v>1.0621036732554493E-2</v>
      </c>
      <c r="BG54" s="3">
        <f t="shared" si="117"/>
        <v>2.065377425512438E-3</v>
      </c>
      <c r="BH54" s="3">
        <f t="shared" si="118"/>
        <v>3.9280897752965978E-4</v>
      </c>
      <c r="BI54" s="3">
        <f t="shared" si="119"/>
        <v>0.98949058415912905</v>
      </c>
      <c r="BJ54" s="3">
        <f t="shared" si="120"/>
        <v>0.99754784145973985</v>
      </c>
      <c r="BK54" s="14">
        <v>1</v>
      </c>
      <c r="BL54" s="108">
        <f t="shared" si="121"/>
        <v>1.0509415840870912E-2</v>
      </c>
      <c r="BM54" s="3">
        <f t="shared" si="34"/>
        <v>-50.020506413569919</v>
      </c>
      <c r="BN54" s="14">
        <f t="shared" si="122"/>
        <v>2.060312792619607E-3</v>
      </c>
      <c r="BO54" s="108">
        <f t="shared" si="35"/>
        <v>30.010684975283255</v>
      </c>
      <c r="BP54" s="108">
        <f t="shared" si="123"/>
        <v>3.9184574764071956E-4</v>
      </c>
      <c r="BQ54" s="108">
        <f t="shared" si="37"/>
        <v>15.735037113189909</v>
      </c>
      <c r="BR54" s="3">
        <f t="shared" si="124"/>
        <v>0.98464375847375596</v>
      </c>
      <c r="BS54" s="3">
        <f t="shared" si="125"/>
        <v>1.1406654687613812E-2</v>
      </c>
      <c r="BT54" s="3">
        <f t="shared" si="126"/>
        <v>4.1392532270761433E-3</v>
      </c>
      <c r="BU54" s="14">
        <f t="shared" si="127"/>
        <v>4.5497135409578151E-5</v>
      </c>
      <c r="BV54" s="3">
        <f t="shared" si="128"/>
        <v>1.1406654687613812E-2</v>
      </c>
      <c r="BW54" s="3">
        <f t="shared" si="129"/>
        <v>4.1392532270761433E-3</v>
      </c>
      <c r="BX54" s="15">
        <f t="shared" si="130"/>
        <v>4.5497135409578151E-5</v>
      </c>
      <c r="BY54" s="105">
        <f t="shared" si="131"/>
        <v>-0.40077963833062835</v>
      </c>
      <c r="BZ54" s="10">
        <f t="shared" si="132"/>
        <v>-19.639654808674798</v>
      </c>
      <c r="CA54" s="106">
        <f t="shared" si="133"/>
        <v>-50.020506413569919</v>
      </c>
      <c r="CB54" s="106">
        <f t="shared" si="134"/>
        <v>30.010684975283255</v>
      </c>
      <c r="CC54" s="107">
        <f t="shared" si="135"/>
        <v>15.735037113189909</v>
      </c>
      <c r="CD54" s="3">
        <f t="shared" si="136"/>
        <v>2.2204460492503131E-13</v>
      </c>
      <c r="CE54" s="3">
        <f t="shared" si="137"/>
        <v>-8.8817841970012523E-13</v>
      </c>
      <c r="CF54" s="85">
        <f t="shared" si="57"/>
        <v>-1.5985690785536022E-3</v>
      </c>
      <c r="CG54" s="85">
        <f t="shared" si="58"/>
        <v>-4.4052210574907491E-3</v>
      </c>
    </row>
    <row r="55" spans="1:87" x14ac:dyDescent="0.25">
      <c r="A55" s="3"/>
      <c r="B55" s="3">
        <f>'datapoints-plots'!D43</f>
        <v>-50</v>
      </c>
      <c r="C55" s="14">
        <f>'datapoints-plots'!E43</f>
        <v>20</v>
      </c>
      <c r="D55" s="3">
        <f t="shared" si="72"/>
        <v>1.0621266000000001E-2</v>
      </c>
      <c r="E55" s="3">
        <f t="shared" si="73"/>
        <v>2.045304E-3</v>
      </c>
      <c r="F55" s="3">
        <f t="shared" si="59"/>
        <v>3.8880058144338234E-4</v>
      </c>
      <c r="G55" s="3">
        <f t="shared" si="83"/>
        <v>0.98949035968534627</v>
      </c>
      <c r="H55" s="14">
        <f t="shared" si="84"/>
        <v>0.99757180589694749</v>
      </c>
      <c r="I55" s="3">
        <f t="shared" si="85"/>
        <v>1.0509640314653739E-2</v>
      </c>
      <c r="J55" s="14">
        <f t="shared" si="86"/>
        <v>-50.000000000000043</v>
      </c>
      <c r="K55" s="3">
        <f t="shared" si="87"/>
        <v>2.0403376048882503E-3</v>
      </c>
      <c r="L55" s="14">
        <f t="shared" si="88"/>
        <v>20.000000000000018</v>
      </c>
      <c r="M55" s="3">
        <f t="shared" si="74"/>
        <v>3.8785649816425812E-4</v>
      </c>
      <c r="N55" s="14">
        <f t="shared" si="89"/>
        <v>1</v>
      </c>
      <c r="O55" s="108">
        <f t="shared" si="7"/>
        <v>4.4349955732553799E-5</v>
      </c>
      <c r="P55" s="3">
        <f t="shared" si="75"/>
        <v>0.98469080075565341</v>
      </c>
      <c r="Q55" s="3">
        <f t="shared" si="60"/>
        <v>1.1224337583933597E-2</v>
      </c>
      <c r="R55" s="3">
        <f t="shared" si="61"/>
        <v>4.0362218824831503E-3</v>
      </c>
      <c r="S55" s="108">
        <f t="shared" si="62"/>
        <v>4.4372130710420076E-5</v>
      </c>
      <c r="T55" s="1">
        <f t="shared" si="76"/>
        <v>15755.052812090455</v>
      </c>
      <c r="U55" s="1">
        <f t="shared" si="77"/>
        <v>17958.940134293756</v>
      </c>
      <c r="V55" s="1">
        <f t="shared" si="78"/>
        <v>21526.516491311631</v>
      </c>
      <c r="W55" s="1">
        <f t="shared" si="79"/>
        <v>2366.5136142239339</v>
      </c>
      <c r="X55" s="3">
        <f t="shared" si="90"/>
        <v>1.139884476966782</v>
      </c>
      <c r="Y55" s="3">
        <f t="shared" si="91"/>
        <v>1.3663246164933287</v>
      </c>
      <c r="Z55" s="15">
        <f t="shared" si="92"/>
        <v>0.15020664433494424</v>
      </c>
      <c r="AA55" s="109">
        <f t="shared" si="93"/>
        <v>0.95389805374534709</v>
      </c>
      <c r="AB55" s="109">
        <f t="shared" si="94"/>
        <v>1.0198813983622119</v>
      </c>
      <c r="AC55" s="19">
        <f t="shared" si="95"/>
        <v>0.97066524376420305</v>
      </c>
      <c r="AD55" s="19"/>
      <c r="AE55" s="19"/>
      <c r="AF55" s="19"/>
      <c r="AG55" s="19">
        <f t="shared" si="96"/>
        <v>1.1402637613195316E-2</v>
      </c>
      <c r="AH55" s="19">
        <f t="shared" si="97"/>
        <v>4.0991041725054935E-3</v>
      </c>
      <c r="AI55" s="19">
        <f t="shared" si="98"/>
        <v>4.5029145480496057E-5</v>
      </c>
      <c r="AJ55" s="3">
        <f t="shared" si="11"/>
        <v>20</v>
      </c>
      <c r="AK55" s="3">
        <f t="shared" si="99"/>
        <v>2.0495520862527468E-3</v>
      </c>
      <c r="AL55" s="3">
        <f t="shared" si="12"/>
        <v>3.9121692824290859E-4</v>
      </c>
      <c r="AM55" s="14">
        <f t="shared" si="100"/>
        <v>0.99756517383376664</v>
      </c>
      <c r="AN55" s="3">
        <f t="shared" si="101"/>
        <v>8.4626576669711087E-6</v>
      </c>
      <c r="AO55" s="3">
        <f t="shared" si="102"/>
        <v>2.045325406766696E-3</v>
      </c>
      <c r="AP55" s="3">
        <f t="shared" si="15"/>
        <v>3.9079073805484556E-4</v>
      </c>
      <c r="AQ55" s="3">
        <f t="shared" si="103"/>
        <v>0.99756980409465845</v>
      </c>
      <c r="AR55" s="14">
        <f t="shared" si="104"/>
        <v>5.7916231532839646E-10</v>
      </c>
      <c r="AS55" s="3">
        <f t="shared" si="105"/>
        <v>2.0453251175037274E-3</v>
      </c>
      <c r="AT55" s="3">
        <f t="shared" si="106"/>
        <v>3.9079070887327737E-4</v>
      </c>
      <c r="AU55" s="3">
        <f t="shared" si="107"/>
        <v>0.99756980441155718</v>
      </c>
      <c r="AV55" s="14">
        <f t="shared" si="108"/>
        <v>3.930796660389646E-14</v>
      </c>
      <c r="AW55" s="3">
        <f t="shared" si="109"/>
        <v>2.0453251174840951E-3</v>
      </c>
      <c r="AX55" s="3">
        <f t="shared" si="110"/>
        <v>3.9079070887129691E-4</v>
      </c>
      <c r="AY55" s="3">
        <f t="shared" si="111"/>
        <v>0.99756980441157861</v>
      </c>
      <c r="AZ55" s="14">
        <f t="shared" si="112"/>
        <v>0</v>
      </c>
      <c r="BA55" s="108">
        <f t="shared" si="113"/>
        <v>1.0621056195452722E-2</v>
      </c>
      <c r="BB55" s="3">
        <f t="shared" si="25"/>
        <v>-50.018765589706085</v>
      </c>
      <c r="BC55" s="3">
        <f t="shared" si="26"/>
        <v>20.010531360510342</v>
      </c>
      <c r="BD55" s="3">
        <f t="shared" si="114"/>
        <v>10.51614877846041</v>
      </c>
      <c r="BE55" s="14">
        <f t="shared" si="115"/>
        <v>4.5047236146462035E-5</v>
      </c>
      <c r="BF55" s="108">
        <f t="shared" si="116"/>
        <v>1.0621056195452722E-2</v>
      </c>
      <c r="BG55" s="3">
        <f t="shared" si="117"/>
        <v>2.0453251174840951E-3</v>
      </c>
      <c r="BH55" s="3">
        <f t="shared" si="118"/>
        <v>3.9079070887129691E-4</v>
      </c>
      <c r="BI55" s="3">
        <f t="shared" si="119"/>
        <v>0.98949056510316902</v>
      </c>
      <c r="BJ55" s="3">
        <f t="shared" si="120"/>
        <v>0.99756980441157861</v>
      </c>
      <c r="BK55" s="14">
        <v>1</v>
      </c>
      <c r="BL55" s="108">
        <f t="shared" si="121"/>
        <v>1.0509434896831028E-2</v>
      </c>
      <c r="BM55" s="3">
        <f t="shared" si="34"/>
        <v>-50.018765589706085</v>
      </c>
      <c r="BN55" s="14">
        <f t="shared" si="122"/>
        <v>2.0403545774066978E-3</v>
      </c>
      <c r="BO55" s="108">
        <f t="shared" si="35"/>
        <v>20.010531360510342</v>
      </c>
      <c r="BP55" s="108">
        <f t="shared" si="123"/>
        <v>3.8984101101460181E-4</v>
      </c>
      <c r="BQ55" s="108">
        <f t="shared" si="37"/>
        <v>10.51614877846041</v>
      </c>
      <c r="BR55" s="3">
        <f t="shared" si="124"/>
        <v>0.98468709767441809</v>
      </c>
      <c r="BS55" s="3">
        <f t="shared" si="125"/>
        <v>1.1402637613195316E-2</v>
      </c>
      <c r="BT55" s="3">
        <f t="shared" si="126"/>
        <v>4.0991041725054961E-3</v>
      </c>
      <c r="BU55" s="14">
        <f t="shared" si="127"/>
        <v>4.5047236146462035E-5</v>
      </c>
      <c r="BV55" s="3">
        <f t="shared" si="128"/>
        <v>1.1402637613195314E-2</v>
      </c>
      <c r="BW55" s="3">
        <f t="shared" si="129"/>
        <v>4.0991041725054961E-3</v>
      </c>
      <c r="BX55" s="15">
        <f t="shared" si="130"/>
        <v>4.5047236146462029E-5</v>
      </c>
      <c r="BY55" s="105">
        <f t="shared" si="131"/>
        <v>-0.40159324996436041</v>
      </c>
      <c r="BZ55" s="10">
        <f t="shared" si="132"/>
        <v>-29.334756235796956</v>
      </c>
      <c r="CA55" s="106">
        <f t="shared" si="133"/>
        <v>-50.018765589706085</v>
      </c>
      <c r="CB55" s="106">
        <f t="shared" si="134"/>
        <v>20.010531360510342</v>
      </c>
      <c r="CC55" s="107">
        <f t="shared" si="135"/>
        <v>10.51614877846041</v>
      </c>
      <c r="CD55" s="3">
        <f t="shared" si="136"/>
        <v>2.2204460492503131E-13</v>
      </c>
      <c r="CE55" s="3">
        <f t="shared" si="137"/>
        <v>-6.6613381477509392E-13</v>
      </c>
      <c r="CF55" s="85">
        <f t="shared" si="57"/>
        <v>-1.5865334475062554E-3</v>
      </c>
      <c r="CG55" s="85">
        <f t="shared" si="58"/>
        <v>-4.41332183998E-3</v>
      </c>
    </row>
    <row r="56" spans="1:87" x14ac:dyDescent="0.25">
      <c r="A56" s="3"/>
      <c r="B56" s="3">
        <f>'datapoints-plots'!D44</f>
        <v>-50</v>
      </c>
      <c r="C56" s="14">
        <f>'datapoints-plots'!E44</f>
        <v>10</v>
      </c>
      <c r="D56" s="3">
        <f t="shared" si="72"/>
        <v>1.0621266000000001E-2</v>
      </c>
      <c r="E56" s="3">
        <f t="shared" si="73"/>
        <v>2.025252E-3</v>
      </c>
      <c r="F56" s="3">
        <f t="shared" si="59"/>
        <v>3.8678328749353459E-4</v>
      </c>
      <c r="G56" s="3">
        <f t="shared" si="83"/>
        <v>0.98949035968534627</v>
      </c>
      <c r="H56" s="14">
        <f t="shared" si="84"/>
        <v>0.99759376862748694</v>
      </c>
      <c r="I56" s="3">
        <f t="shared" si="85"/>
        <v>1.0509640314653739E-2</v>
      </c>
      <c r="J56" s="14">
        <f t="shared" si="86"/>
        <v>-50.000000000000043</v>
      </c>
      <c r="K56" s="3">
        <f t="shared" si="87"/>
        <v>2.0203787751003552E-3</v>
      </c>
      <c r="L56" s="14">
        <f t="shared" si="88"/>
        <v>10.000000000000009</v>
      </c>
      <c r="M56" s="3">
        <f t="shared" si="74"/>
        <v>3.8585259741280391E-4</v>
      </c>
      <c r="N56" s="14">
        <f t="shared" si="89"/>
        <v>1</v>
      </c>
      <c r="O56" s="108">
        <f t="shared" si="7"/>
        <v>4.390903877190622E-5</v>
      </c>
      <c r="P56" s="3">
        <f t="shared" si="75"/>
        <v>0.98473415994890501</v>
      </c>
      <c r="Q56" s="3">
        <f t="shared" si="60"/>
        <v>1.1220859051262433E-2</v>
      </c>
      <c r="R56" s="3">
        <f t="shared" si="61"/>
        <v>3.9968645276764175E-3</v>
      </c>
      <c r="S56" s="108">
        <f t="shared" si="62"/>
        <v>4.3930993291292168E-5</v>
      </c>
      <c r="T56" s="1">
        <f t="shared" si="76"/>
        <v>15755.74655918248</v>
      </c>
      <c r="U56" s="1">
        <f t="shared" si="77"/>
        <v>17953.374482019892</v>
      </c>
      <c r="V56" s="1">
        <f t="shared" si="78"/>
        <v>21316.610601108117</v>
      </c>
      <c r="W56" s="1">
        <f t="shared" si="79"/>
        <v>2342.9862854390522</v>
      </c>
      <c r="X56" s="3">
        <f t="shared" si="90"/>
        <v>1.1394810404307139</v>
      </c>
      <c r="Y56" s="3">
        <f t="shared" si="91"/>
        <v>1.3529419581000277</v>
      </c>
      <c r="Z56" s="15">
        <f t="shared" si="92"/>
        <v>0.14870677670767402</v>
      </c>
      <c r="AA56" s="109">
        <f t="shared" si="93"/>
        <v>0.95356044293096953</v>
      </c>
      <c r="AB56" s="109">
        <f t="shared" si="94"/>
        <v>1.0098920267361682</v>
      </c>
      <c r="AC56" s="19">
        <f t="shared" si="95"/>
        <v>0.96097280051387735</v>
      </c>
      <c r="AD56" s="19"/>
      <c r="AE56" s="19"/>
      <c r="AF56" s="19"/>
      <c r="AG56" s="19">
        <f t="shared" si="96"/>
        <v>1.1398601905442765E-2</v>
      </c>
      <c r="AH56" s="19">
        <f t="shared" si="97"/>
        <v>4.0589549208584095E-3</v>
      </c>
      <c r="AI56" s="19">
        <f t="shared" si="98"/>
        <v>4.4579513189668523E-5</v>
      </c>
      <c r="AJ56" s="3">
        <f t="shared" si="11"/>
        <v>10</v>
      </c>
      <c r="AK56" s="3">
        <f t="shared" si="99"/>
        <v>2.0294774604292048E-3</v>
      </c>
      <c r="AL56" s="3">
        <f t="shared" si="12"/>
        <v>3.8918902312197717E-4</v>
      </c>
      <c r="AM56" s="14">
        <f t="shared" si="100"/>
        <v>0.99758716934907465</v>
      </c>
      <c r="AN56" s="3">
        <f t="shared" si="101"/>
        <v>8.4180171939151824E-6</v>
      </c>
      <c r="AO56" s="3">
        <f t="shared" si="102"/>
        <v>2.0252730766543996E-3</v>
      </c>
      <c r="AP56" s="3">
        <f t="shared" si="15"/>
        <v>3.8876310597964447E-4</v>
      </c>
      <c r="AQ56" s="3">
        <f t="shared" si="103"/>
        <v>0.99759177735396942</v>
      </c>
      <c r="AR56" s="14">
        <f t="shared" si="104"/>
        <v>5.3395384728288642E-10</v>
      </c>
      <c r="AS56" s="3">
        <f t="shared" si="105"/>
        <v>2.0252728099708277E-3</v>
      </c>
      <c r="AT56" s="3">
        <f t="shared" si="106"/>
        <v>3.8876307895054036E-4</v>
      </c>
      <c r="AU56" s="3">
        <f t="shared" si="107"/>
        <v>0.99759177764626905</v>
      </c>
      <c r="AV56" s="14">
        <f t="shared" si="108"/>
        <v>3.3563429813199264E-14</v>
      </c>
      <c r="AW56" s="3">
        <f t="shared" si="109"/>
        <v>2.0252728099540646E-3</v>
      </c>
      <c r="AX56" s="3">
        <f t="shared" si="110"/>
        <v>3.8876307894884131E-4</v>
      </c>
      <c r="AY56" s="3">
        <f t="shared" si="111"/>
        <v>0.99759177764628748</v>
      </c>
      <c r="AZ56" s="14">
        <f t="shared" si="112"/>
        <v>0</v>
      </c>
      <c r="BA56" s="108">
        <f t="shared" si="113"/>
        <v>1.0621075747545082E-2</v>
      </c>
      <c r="BB56" s="3">
        <f t="shared" si="25"/>
        <v>-50.017016788033828</v>
      </c>
      <c r="BC56" s="3">
        <f t="shared" si="26"/>
        <v>10.01037799424731</v>
      </c>
      <c r="BD56" s="3">
        <f t="shared" si="114"/>
        <v>5.2730538586611697</v>
      </c>
      <c r="BE56" s="14">
        <f t="shared" si="115"/>
        <v>4.4597459669223482E-5</v>
      </c>
      <c r="BF56" s="108">
        <f t="shared" si="116"/>
        <v>1.0621075747545082E-2</v>
      </c>
      <c r="BG56" s="3">
        <f t="shared" si="117"/>
        <v>2.0252728099540646E-3</v>
      </c>
      <c r="BH56" s="3">
        <f t="shared" si="118"/>
        <v>3.8876307894884131E-4</v>
      </c>
      <c r="BI56" s="3">
        <f t="shared" si="119"/>
        <v>0.98949054595988029</v>
      </c>
      <c r="BJ56" s="3">
        <f t="shared" si="120"/>
        <v>0.99759177764628748</v>
      </c>
      <c r="BK56" s="14">
        <v>1</v>
      </c>
      <c r="BL56" s="108">
        <f t="shared" si="121"/>
        <v>1.0509454040119626E-2</v>
      </c>
      <c r="BM56" s="3">
        <f t="shared" si="34"/>
        <v>-50.017016788033828</v>
      </c>
      <c r="BN56" s="14">
        <f t="shared" si="122"/>
        <v>2.0203955027007672E-3</v>
      </c>
      <c r="BO56" s="108">
        <f t="shared" si="35"/>
        <v>10.01037799424731</v>
      </c>
      <c r="BP56" s="108">
        <f t="shared" si="123"/>
        <v>3.878268510118186E-4</v>
      </c>
      <c r="BQ56" s="108">
        <f t="shared" si="37"/>
        <v>5.2730538586611697</v>
      </c>
      <c r="BR56" s="3">
        <f t="shared" si="124"/>
        <v>0.98473045804170412</v>
      </c>
      <c r="BS56" s="3">
        <f t="shared" si="125"/>
        <v>1.1398601905442765E-2</v>
      </c>
      <c r="BT56" s="3">
        <f t="shared" si="126"/>
        <v>4.0589549208584113E-3</v>
      </c>
      <c r="BU56" s="14">
        <f t="shared" si="127"/>
        <v>4.4597459669223482E-5</v>
      </c>
      <c r="BV56" s="3">
        <f t="shared" si="128"/>
        <v>1.1398601905442765E-2</v>
      </c>
      <c r="BW56" s="3">
        <f t="shared" si="129"/>
        <v>4.058954920858413E-3</v>
      </c>
      <c r="BX56" s="15">
        <f t="shared" si="130"/>
        <v>4.4597459669223488E-5</v>
      </c>
      <c r="BY56" s="105">
        <f t="shared" si="131"/>
        <v>-0.40241035449262164</v>
      </c>
      <c r="BZ56" s="10">
        <f t="shared" si="132"/>
        <v>-39.027199486122655</v>
      </c>
      <c r="CA56" s="106">
        <f t="shared" si="133"/>
        <v>-50.017016788033828</v>
      </c>
      <c r="CB56" s="106">
        <f t="shared" si="134"/>
        <v>10.01037799424731</v>
      </c>
      <c r="CC56" s="107">
        <f t="shared" si="135"/>
        <v>5.2730538586611697</v>
      </c>
      <c r="CD56" s="3">
        <f t="shared" si="136"/>
        <v>0</v>
      </c>
      <c r="CE56" s="3">
        <f t="shared" si="137"/>
        <v>-8.8817841970012523E-13</v>
      </c>
      <c r="CF56" s="85">
        <f t="shared" si="57"/>
        <v>-1.5744456822730513E-3</v>
      </c>
      <c r="CG56" s="85">
        <f t="shared" si="58"/>
        <v>-4.4214532824993213E-3</v>
      </c>
    </row>
    <row r="57" spans="1:87" x14ac:dyDescent="0.25">
      <c r="A57" s="3"/>
      <c r="B57" s="3">
        <f>'datapoints-plots'!D45</f>
        <v>-50</v>
      </c>
      <c r="C57" s="14">
        <f>'datapoints-plots'!E45</f>
        <v>0</v>
      </c>
      <c r="D57" s="3">
        <f t="shared" si="72"/>
        <v>1.0621266000000001E-2</v>
      </c>
      <c r="E57" s="3">
        <f t="shared" si="73"/>
        <v>2.0052E-3</v>
      </c>
      <c r="F57" s="3">
        <f t="shared" si="59"/>
        <v>3.8475654393587772E-4</v>
      </c>
      <c r="G57" s="3">
        <f t="shared" si="83"/>
        <v>0.98949035968534627</v>
      </c>
      <c r="H57" s="14">
        <f t="shared" si="84"/>
        <v>0.99761574172971967</v>
      </c>
      <c r="I57" s="3">
        <f t="shared" si="85"/>
        <v>1.0509640314653739E-2</v>
      </c>
      <c r="J57" s="14">
        <f t="shared" si="86"/>
        <v>-50.000000000000043</v>
      </c>
      <c r="K57" s="3">
        <f t="shared" si="87"/>
        <v>2.0004190853164338E-3</v>
      </c>
      <c r="L57" s="14">
        <f t="shared" si="88"/>
        <v>0</v>
      </c>
      <c r="M57" s="3">
        <f t="shared" si="74"/>
        <v>3.8383918496395411E-4</v>
      </c>
      <c r="N57" s="14">
        <f t="shared" si="89"/>
        <v>1</v>
      </c>
      <c r="O57" s="108">
        <f t="shared" si="7"/>
        <v>4.3468205786610122E-5</v>
      </c>
      <c r="P57" s="3">
        <f t="shared" si="75"/>
        <v>0.98477754057312006</v>
      </c>
      <c r="Q57" s="3">
        <f t="shared" si="60"/>
        <v>1.121736180128945E-2</v>
      </c>
      <c r="R57" s="3">
        <f t="shared" si="61"/>
        <v>3.957503580516949E-3</v>
      </c>
      <c r="S57" s="108">
        <f t="shared" si="62"/>
        <v>4.3489939889503422E-5</v>
      </c>
      <c r="T57" s="1">
        <f t="shared" si="76"/>
        <v>15756.440649169921</v>
      </c>
      <c r="U57" s="1">
        <f t="shared" si="77"/>
        <v>17947.778882063118</v>
      </c>
      <c r="V57" s="1">
        <f t="shared" si="78"/>
        <v>21106.685551690203</v>
      </c>
      <c r="W57" s="1">
        <f t="shared" si="79"/>
        <v>2319.463437578881</v>
      </c>
      <c r="X57" s="3">
        <f t="shared" si="90"/>
        <v>1.139075713968982</v>
      </c>
      <c r="Y57" s="3">
        <f t="shared" si="91"/>
        <v>1.3395592330557309</v>
      </c>
      <c r="Z57" s="15">
        <f t="shared" si="92"/>
        <v>0.14720732234034561</v>
      </c>
      <c r="AA57" s="109">
        <f t="shared" si="93"/>
        <v>0.95322125055596119</v>
      </c>
      <c r="AB57" s="109">
        <f t="shared" si="94"/>
        <v>0.99990260535905495</v>
      </c>
      <c r="AC57" s="19">
        <f t="shared" si="95"/>
        <v>0.95128302783158125</v>
      </c>
      <c r="AD57" s="19"/>
      <c r="AE57" s="19"/>
      <c r="AF57" s="19"/>
      <c r="AG57" s="19">
        <f t="shared" si="96"/>
        <v>1.1394547292145051E-2</v>
      </c>
      <c r="AH57" s="19">
        <f t="shared" si="97"/>
        <v>4.0188054692519813E-3</v>
      </c>
      <c r="AI57" s="19">
        <f t="shared" si="98"/>
        <v>4.4130004786450119E-5</v>
      </c>
      <c r="AJ57" s="3">
        <f t="shared" si="11"/>
        <v>0</v>
      </c>
      <c r="AK57" s="3">
        <f t="shared" si="99"/>
        <v>2.0094027346259907E-3</v>
      </c>
      <c r="AL57" s="3">
        <f t="shared" si="12"/>
        <v>3.8715161761969683E-4</v>
      </c>
      <c r="AM57" s="14">
        <f t="shared" si="100"/>
        <v>0.9976091753888815</v>
      </c>
      <c r="AN57" s="3">
        <f t="shared" si="101"/>
        <v>8.3731757073192414E-6</v>
      </c>
      <c r="AO57" s="3">
        <f t="shared" si="102"/>
        <v>2.0052207469587651E-3</v>
      </c>
      <c r="AP57" s="3">
        <f t="shared" si="15"/>
        <v>3.8672597585453881E-4</v>
      </c>
      <c r="AQ57" s="3">
        <f t="shared" si="103"/>
        <v>0.99761376103366206</v>
      </c>
      <c r="AR57" s="14">
        <f t="shared" si="104"/>
        <v>4.8856629766141912E-10</v>
      </c>
      <c r="AS57" s="3">
        <f t="shared" si="105"/>
        <v>2.0052205029440326E-3</v>
      </c>
      <c r="AT57" s="3">
        <f t="shared" si="106"/>
        <v>3.8672595100655598E-4</v>
      </c>
      <c r="AU57" s="3">
        <f t="shared" si="107"/>
        <v>0.99761376130124324</v>
      </c>
      <c r="AV57" s="14">
        <f t="shared" si="108"/>
        <v>2.8225685677618628E-14</v>
      </c>
      <c r="AW57" s="3">
        <f t="shared" si="109"/>
        <v>2.0052205029299354E-3</v>
      </c>
      <c r="AX57" s="3">
        <f t="shared" si="110"/>
        <v>3.8672595100512045E-4</v>
      </c>
      <c r="AY57" s="3">
        <f t="shared" si="111"/>
        <v>0.99761376130125867</v>
      </c>
      <c r="AZ57" s="14">
        <f t="shared" si="112"/>
        <v>0</v>
      </c>
      <c r="BA57" s="108">
        <f t="shared" si="113"/>
        <v>1.062109539013481E-2</v>
      </c>
      <c r="BB57" s="3">
        <f t="shared" si="25"/>
        <v>-50.015259891987519</v>
      </c>
      <c r="BC57" s="3">
        <f t="shared" si="26"/>
        <v>1.0224880278908444E-2</v>
      </c>
      <c r="BD57" s="3">
        <f t="shared" si="114"/>
        <v>5.3987237593755566E-3</v>
      </c>
      <c r="BE57" s="14">
        <f t="shared" si="115"/>
        <v>4.4147806550437938E-5</v>
      </c>
      <c r="BF57" s="108">
        <f t="shared" si="116"/>
        <v>1.062109539013481E-2</v>
      </c>
      <c r="BG57" s="3">
        <f t="shared" si="117"/>
        <v>2.0052205029299354E-3</v>
      </c>
      <c r="BH57" s="3">
        <f t="shared" si="118"/>
        <v>3.8672595100512045E-4</v>
      </c>
      <c r="BI57" s="3">
        <f t="shared" si="119"/>
        <v>0.98949052672798721</v>
      </c>
      <c r="BJ57" s="3">
        <f t="shared" si="120"/>
        <v>0.99761376130125867</v>
      </c>
      <c r="BK57" s="14">
        <v>1</v>
      </c>
      <c r="BL57" s="108">
        <f t="shared" si="121"/>
        <v>1.050947327201269E-2</v>
      </c>
      <c r="BM57" s="3">
        <f t="shared" si="34"/>
        <v>-50.015259891987519</v>
      </c>
      <c r="BN57" s="14">
        <f t="shared" si="122"/>
        <v>2.0004355681663344E-3</v>
      </c>
      <c r="BO57" s="108">
        <f t="shared" si="35"/>
        <v>1.0224880278908444E-2</v>
      </c>
      <c r="BP57" s="108">
        <f t="shared" si="123"/>
        <v>3.8580313057502447E-4</v>
      </c>
      <c r="BQ57" s="108">
        <f t="shared" si="37"/>
        <v>5.3987237593755566E-3</v>
      </c>
      <c r="BR57" s="3">
        <f t="shared" si="124"/>
        <v>0.98477383984692113</v>
      </c>
      <c r="BS57" s="3">
        <f t="shared" si="125"/>
        <v>1.1394547292145051E-2</v>
      </c>
      <c r="BT57" s="3">
        <f t="shared" si="126"/>
        <v>4.0188054692519839E-3</v>
      </c>
      <c r="BU57" s="14">
        <f t="shared" si="127"/>
        <v>4.4147806550437938E-5</v>
      </c>
      <c r="BV57" s="3">
        <f t="shared" si="128"/>
        <v>1.1394547292145051E-2</v>
      </c>
      <c r="BW57" s="3">
        <f t="shared" si="129"/>
        <v>4.0188054692519839E-3</v>
      </c>
      <c r="BX57" s="15">
        <f t="shared" si="130"/>
        <v>4.4147806550437938E-5</v>
      </c>
      <c r="BY57" s="105">
        <f t="shared" si="131"/>
        <v>-0.40323099557570963</v>
      </c>
      <c r="BZ57" s="10">
        <f t="shared" si="132"/>
        <v>-48.716972168418749</v>
      </c>
      <c r="CA57" s="106">
        <f t="shared" si="133"/>
        <v>-50.015259891987519</v>
      </c>
      <c r="CB57" s="106">
        <f t="shared" si="134"/>
        <v>1.0224880278908444E-2</v>
      </c>
      <c r="CC57" s="107">
        <f t="shared" si="135"/>
        <v>5.3987237593755566E-3</v>
      </c>
      <c r="CD57" s="3">
        <f t="shared" si="136"/>
        <v>0</v>
      </c>
      <c r="CE57" s="3">
        <f t="shared" si="137"/>
        <v>-6.6613381477509392E-13</v>
      </c>
      <c r="CF57" s="85">
        <f t="shared" si="57"/>
        <v>-1.5623055072966352E-3</v>
      </c>
      <c r="CG57" s="85">
        <f t="shared" si="58"/>
        <v>-4.4296157468703967E-3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explanation</vt:lpstr>
      <vt:lpstr>Parameters</vt:lpstr>
      <vt:lpstr>baseline-D17-D47</vt:lpstr>
      <vt:lpstr>datapoints-plots</vt:lpstr>
      <vt:lpstr>full model</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golack</dc:creator>
  <cp:lastModifiedBy>gerard olack</cp:lastModifiedBy>
  <dcterms:created xsi:type="dcterms:W3CDTF">2013-05-02T22:09:28Z</dcterms:created>
  <dcterms:modified xsi:type="dcterms:W3CDTF">2019-10-12T20:34:10Z</dcterms:modified>
</cp:coreProperties>
</file>